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Z:\BCDD5 Documents\Budget\Budget 26-27\"/>
    </mc:Choice>
  </mc:AlternateContent>
  <xr:revisionPtr revIDLastSave="0" documentId="13_ncr:1_{D5127B0D-E9B3-4043-B220-8EAEA44FA283}" xr6:coauthVersionLast="47" xr6:coauthVersionMax="47" xr10:uidLastSave="{00000000-0000-0000-0000-000000000000}"/>
  <bookViews>
    <workbookView xWindow="28680" yWindow="-15" windowWidth="29040" windowHeight="15720" activeTab="1" xr2:uid="{00000000-000D-0000-FFFF-FFFF00000000}"/>
  </bookViews>
  <sheets>
    <sheet name="Tax Rate Summary over the years" sheetId="1" r:id="rId1"/>
    <sheet name="Budget" sheetId="2" r:id="rId2"/>
    <sheet name="Wges" sheetId="3" r:id="rId3"/>
    <sheet name="Proposed Tax Rate 2026" sheetId="4" r:id="rId4"/>
    <sheet name="Posted Tax Rate 2025" sheetId="5" r:id="rId5"/>
    <sheet name="Posted Tax Rate 2024" sheetId="6" r:id="rId6"/>
    <sheet name="Posted Tax Rates 2023" sheetId="7" r:id="rId7"/>
  </sheets>
  <externalReferences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oPlq7hSn1my5Z3pLiOWJjZsPjnAXvl9Z654hV0t/Lrw="/>
    </ext>
  </extLst>
</workbook>
</file>

<file path=xl/calcChain.xml><?xml version="1.0" encoding="utf-8"?>
<calcChain xmlns="http://schemas.openxmlformats.org/spreadsheetml/2006/main">
  <c r="J61" i="2" l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5" i="1"/>
  <c r="A4" i="1"/>
  <c r="H26" i="3"/>
  <c r="H25" i="3"/>
  <c r="H24" i="3"/>
  <c r="H23" i="3"/>
  <c r="H22" i="3"/>
  <c r="H21" i="3"/>
  <c r="H20" i="3"/>
  <c r="H18" i="3"/>
  <c r="H17" i="3"/>
  <c r="H16" i="3"/>
  <c r="H15" i="3"/>
  <c r="H14" i="3"/>
  <c r="H13" i="3"/>
  <c r="H12" i="3"/>
  <c r="H11" i="3"/>
  <c r="U24" i="3"/>
  <c r="D27" i="7"/>
  <c r="D30" i="7" s="1"/>
  <c r="F20" i="7"/>
  <c r="E12" i="7"/>
  <c r="A12" i="7"/>
  <c r="C12" i="7" s="1"/>
  <c r="D12" i="7" s="1"/>
  <c r="F12" i="7" s="1"/>
  <c r="E11" i="7"/>
  <c r="A11" i="7"/>
  <c r="C11" i="7" s="1"/>
  <c r="D11" i="7" s="1"/>
  <c r="F11" i="7" s="1"/>
  <c r="E10" i="7"/>
  <c r="C10" i="7"/>
  <c r="D10" i="7" s="1"/>
  <c r="F10" i="7" s="1"/>
  <c r="A10" i="7"/>
  <c r="E9" i="7"/>
  <c r="C9" i="7"/>
  <c r="D9" i="7" s="1"/>
  <c r="F9" i="7" s="1"/>
  <c r="A9" i="7"/>
  <c r="E8" i="7"/>
  <c r="A8" i="7"/>
  <c r="C8" i="7" s="1"/>
  <c r="D8" i="7" s="1"/>
  <c r="F8" i="7" s="1"/>
  <c r="E7" i="7"/>
  <c r="A7" i="7"/>
  <c r="C7" i="7" s="1"/>
  <c r="D7" i="7" s="1"/>
  <c r="F7" i="7" s="1"/>
  <c r="E6" i="7"/>
  <c r="A6" i="7"/>
  <c r="C6" i="7" s="1"/>
  <c r="D6" i="7" s="1"/>
  <c r="F6" i="7" s="1"/>
  <c r="E5" i="7"/>
  <c r="D5" i="7"/>
  <c r="F5" i="7" s="1"/>
  <c r="C5" i="7"/>
  <c r="A5" i="7"/>
  <c r="E4" i="7"/>
  <c r="A4" i="7"/>
  <c r="C4" i="7" s="1"/>
  <c r="D4" i="7" s="1"/>
  <c r="F4" i="7" s="1"/>
  <c r="D31" i="6"/>
  <c r="F28" i="6"/>
  <c r="D22" i="6" s="1"/>
  <c r="D23" i="6" s="1"/>
  <c r="F21" i="6"/>
  <c r="E13" i="6"/>
  <c r="C13" i="6"/>
  <c r="D13" i="6" s="1"/>
  <c r="F13" i="6" s="1"/>
  <c r="A13" i="6"/>
  <c r="E12" i="6"/>
  <c r="C12" i="6"/>
  <c r="D12" i="6" s="1"/>
  <c r="F12" i="6" s="1"/>
  <c r="A12" i="6"/>
  <c r="E11" i="6"/>
  <c r="D11" i="6"/>
  <c r="F11" i="6" s="1"/>
  <c r="C11" i="6"/>
  <c r="A11" i="6"/>
  <c r="E10" i="6"/>
  <c r="A10" i="6"/>
  <c r="C10" i="6" s="1"/>
  <c r="D10" i="6" s="1"/>
  <c r="F10" i="6" s="1"/>
  <c r="E9" i="6"/>
  <c r="A9" i="6"/>
  <c r="C9" i="6" s="1"/>
  <c r="D9" i="6" s="1"/>
  <c r="F9" i="6" s="1"/>
  <c r="E8" i="6"/>
  <c r="D8" i="6"/>
  <c r="F8" i="6" s="1"/>
  <c r="C8" i="6"/>
  <c r="A8" i="6"/>
  <c r="E7" i="6"/>
  <c r="D7" i="6"/>
  <c r="F7" i="6" s="1"/>
  <c r="C7" i="6"/>
  <c r="A7" i="6"/>
  <c r="F6" i="6"/>
  <c r="E6" i="6"/>
  <c r="D6" i="6"/>
  <c r="C6" i="6"/>
  <c r="A6" i="6"/>
  <c r="E5" i="6"/>
  <c r="C5" i="6"/>
  <c r="D5" i="6" s="1"/>
  <c r="F5" i="6" s="1"/>
  <c r="A5" i="6"/>
  <c r="E4" i="6"/>
  <c r="C4" i="6"/>
  <c r="D4" i="6" s="1"/>
  <c r="F4" i="6" s="1"/>
  <c r="A4" i="6"/>
  <c r="F28" i="5"/>
  <c r="D28" i="5"/>
  <c r="D31" i="5" s="1"/>
  <c r="D23" i="5"/>
  <c r="F21" i="5"/>
  <c r="E13" i="5"/>
  <c r="A13" i="5"/>
  <c r="C13" i="5" s="1"/>
  <c r="E12" i="5"/>
  <c r="A12" i="5"/>
  <c r="C12" i="5" s="1"/>
  <c r="D12" i="5" s="1"/>
  <c r="E11" i="5"/>
  <c r="D11" i="5"/>
  <c r="F11" i="5" s="1"/>
  <c r="C11" i="5"/>
  <c r="A11" i="5"/>
  <c r="E10" i="5"/>
  <c r="A10" i="5"/>
  <c r="C10" i="5" s="1"/>
  <c r="D10" i="5" s="1"/>
  <c r="E9" i="5"/>
  <c r="A9" i="5"/>
  <c r="C9" i="5" s="1"/>
  <c r="D9" i="5" s="1"/>
  <c r="E8" i="5"/>
  <c r="C8" i="5"/>
  <c r="D8" i="5" s="1"/>
  <c r="A8" i="5"/>
  <c r="E7" i="5"/>
  <c r="C7" i="5"/>
  <c r="D7" i="5" s="1"/>
  <c r="A7" i="5"/>
  <c r="E6" i="5"/>
  <c r="D6" i="5"/>
  <c r="F6" i="5" s="1"/>
  <c r="C6" i="5"/>
  <c r="A6" i="5"/>
  <c r="E5" i="5"/>
  <c r="A5" i="5"/>
  <c r="C5" i="5" s="1"/>
  <c r="D5" i="5" s="1"/>
  <c r="E4" i="5"/>
  <c r="A4" i="5"/>
  <c r="C4" i="5" s="1"/>
  <c r="D4" i="5" s="1"/>
  <c r="D31" i="4"/>
  <c r="F28" i="4"/>
  <c r="D23" i="4"/>
  <c r="D22" i="4"/>
  <c r="F21" i="4"/>
  <c r="E13" i="4"/>
  <c r="D13" i="4"/>
  <c r="F13" i="4" s="1"/>
  <c r="C13" i="4"/>
  <c r="A13" i="4"/>
  <c r="F12" i="4"/>
  <c r="H15" i="2" s="1"/>
  <c r="E12" i="4"/>
  <c r="D12" i="4"/>
  <c r="C12" i="4"/>
  <c r="A12" i="4"/>
  <c r="E11" i="4"/>
  <c r="C11" i="4"/>
  <c r="D11" i="4" s="1"/>
  <c r="F11" i="4" s="1"/>
  <c r="H14" i="2" s="1"/>
  <c r="A11" i="4"/>
  <c r="E10" i="4"/>
  <c r="C10" i="4"/>
  <c r="D10" i="4" s="1"/>
  <c r="F10" i="4" s="1"/>
  <c r="H13" i="2" s="1"/>
  <c r="A10" i="4"/>
  <c r="E9" i="4"/>
  <c r="D9" i="4"/>
  <c r="F9" i="4" s="1"/>
  <c r="H12" i="2" s="1"/>
  <c r="C9" i="4"/>
  <c r="A9" i="4"/>
  <c r="E8" i="4"/>
  <c r="A8" i="4"/>
  <c r="C8" i="4" s="1"/>
  <c r="E7" i="4"/>
  <c r="A7" i="4"/>
  <c r="C7" i="4" s="1"/>
  <c r="E6" i="4"/>
  <c r="D6" i="4"/>
  <c r="F6" i="4" s="1"/>
  <c r="H9" i="2" s="1"/>
  <c r="C6" i="4"/>
  <c r="A6" i="4"/>
  <c r="E5" i="4"/>
  <c r="A5" i="4"/>
  <c r="C5" i="4" s="1"/>
  <c r="E4" i="4"/>
  <c r="A4" i="4"/>
  <c r="C4" i="4" s="1"/>
  <c r="DP42" i="3"/>
  <c r="DJ42" i="3"/>
  <c r="DL42" i="3" s="1"/>
  <c r="DB42" i="3"/>
  <c r="U42" i="3"/>
  <c r="E42" i="3"/>
  <c r="H42" i="3" s="1"/>
  <c r="J42" i="3" s="1"/>
  <c r="U34" i="3"/>
  <c r="U35" i="3" s="1"/>
  <c r="J34" i="3"/>
  <c r="J33" i="3"/>
  <c r="J32" i="3"/>
  <c r="DJ29" i="3"/>
  <c r="DB29" i="3"/>
  <c r="DB30" i="3" s="1"/>
  <c r="F29" i="3"/>
  <c r="D28" i="3"/>
  <c r="E28" i="3" s="1"/>
  <c r="E22" i="3" s="1"/>
  <c r="DG27" i="3"/>
  <c r="DG28" i="3" s="1"/>
  <c r="DA27" i="3"/>
  <c r="DP26" i="3"/>
  <c r="DD26" i="3"/>
  <c r="DE26" i="3" s="1"/>
  <c r="U26" i="3"/>
  <c r="E26" i="3"/>
  <c r="DP25" i="3"/>
  <c r="DD25" i="3"/>
  <c r="DE25" i="3" s="1"/>
  <c r="U25" i="3"/>
  <c r="E25" i="3"/>
  <c r="U23" i="3"/>
  <c r="U22" i="3"/>
  <c r="DP21" i="3"/>
  <c r="DD21" i="3"/>
  <c r="DE21" i="3" s="1"/>
  <c r="U21" i="3"/>
  <c r="DP20" i="3"/>
  <c r="DG20" i="3"/>
  <c r="DD20" i="3"/>
  <c r="DE20" i="3" s="1"/>
  <c r="U20" i="3"/>
  <c r="DP19" i="3"/>
  <c r="DG19" i="3"/>
  <c r="DG26" i="3" s="1"/>
  <c r="DD19" i="3"/>
  <c r="DE19" i="3" s="1"/>
  <c r="U19" i="3"/>
  <c r="DP18" i="3"/>
  <c r="DG18" i="3"/>
  <c r="DD18" i="3"/>
  <c r="DE18" i="3" s="1"/>
  <c r="U18" i="3"/>
  <c r="DP17" i="3"/>
  <c r="DG17" i="3"/>
  <c r="DG21" i="3" s="1"/>
  <c r="DD17" i="3"/>
  <c r="DE17" i="3" s="1"/>
  <c r="U17" i="3"/>
  <c r="DE16" i="3"/>
  <c r="U16" i="3"/>
  <c r="U15" i="3"/>
  <c r="U14" i="3"/>
  <c r="DP13" i="3"/>
  <c r="DK13" i="3"/>
  <c r="DJ13" i="3"/>
  <c r="DL13" i="3" s="1"/>
  <c r="DB13" i="3"/>
  <c r="U13" i="3"/>
  <c r="DP12" i="3"/>
  <c r="DJ12" i="3"/>
  <c r="DL12" i="3" s="1"/>
  <c r="DB12" i="3"/>
  <c r="DE12" i="3" s="1"/>
  <c r="U12" i="3"/>
  <c r="DP11" i="3"/>
  <c r="DJ11" i="3"/>
  <c r="DL11" i="3" s="1"/>
  <c r="DB11" i="3"/>
  <c r="U11" i="3"/>
  <c r="N11" i="3"/>
  <c r="U10" i="3"/>
  <c r="N9" i="3"/>
  <c r="N32" i="3" s="1"/>
  <c r="M9" i="3"/>
  <c r="M32" i="3" s="1"/>
  <c r="DM8" i="3"/>
  <c r="DM7" i="3"/>
  <c r="T5" i="3"/>
  <c r="T8" i="3" s="1"/>
  <c r="T24" i="3" s="1"/>
  <c r="S5" i="3"/>
  <c r="S8" i="3" s="1"/>
  <c r="R5" i="3"/>
  <c r="R8" i="3" s="1"/>
  <c r="Q5" i="3"/>
  <c r="Q8" i="3" s="1"/>
  <c r="P5" i="3"/>
  <c r="P8" i="3" s="1"/>
  <c r="L4" i="3"/>
  <c r="L21" i="3" s="1"/>
  <c r="K4" i="3"/>
  <c r="K22" i="3" s="1"/>
  <c r="C49" i="2"/>
  <c r="C58" i="2" s="1"/>
  <c r="H19" i="2"/>
  <c r="H18" i="2"/>
  <c r="F16" i="2"/>
  <c r="I15" i="2"/>
  <c r="F15" i="2"/>
  <c r="I14" i="2"/>
  <c r="G14" i="2"/>
  <c r="F14" i="2"/>
  <c r="I13" i="2"/>
  <c r="F13" i="2"/>
  <c r="I12" i="2"/>
  <c r="F12" i="2"/>
  <c r="F11" i="2"/>
  <c r="F10" i="2"/>
  <c r="I9" i="2"/>
  <c r="G9" i="2"/>
  <c r="F9" i="2"/>
  <c r="F8" i="2"/>
  <c r="K7" i="2"/>
  <c r="F7" i="2"/>
  <c r="H5" i="2"/>
  <c r="H4" i="2"/>
  <c r="J37" i="3" l="1"/>
  <c r="D16" i="2" s="1"/>
  <c r="K13" i="3"/>
  <c r="E12" i="3"/>
  <c r="J12" i="3" s="1"/>
  <c r="P12" i="3" s="1"/>
  <c r="K11" i="3"/>
  <c r="K24" i="3"/>
  <c r="L24" i="3"/>
  <c r="M24" i="3"/>
  <c r="K15" i="3"/>
  <c r="E10" i="3"/>
  <c r="E11" i="3"/>
  <c r="J11" i="3" s="1"/>
  <c r="P11" i="3" s="1"/>
  <c r="E13" i="3"/>
  <c r="J13" i="3" s="1"/>
  <c r="Q13" i="3" s="1"/>
  <c r="E14" i="3"/>
  <c r="J14" i="3" s="1"/>
  <c r="Q14" i="3" s="1"/>
  <c r="E16" i="3"/>
  <c r="E23" i="3"/>
  <c r="E24" i="3"/>
  <c r="J24" i="3" s="1"/>
  <c r="E15" i="3"/>
  <c r="J15" i="3" s="1"/>
  <c r="Q15" i="3" s="1"/>
  <c r="E19" i="3"/>
  <c r="H19" i="3" s="1"/>
  <c r="J19" i="3" s="1"/>
  <c r="R19" i="3" s="1"/>
  <c r="E17" i="3"/>
  <c r="E18" i="3"/>
  <c r="J18" i="3" s="1"/>
  <c r="R18" i="3" s="1"/>
  <c r="E20" i="3"/>
  <c r="J20" i="3" s="1"/>
  <c r="P20" i="3" s="1"/>
  <c r="E21" i="3"/>
  <c r="J21" i="3" s="1"/>
  <c r="R21" i="3" s="1"/>
  <c r="M13" i="3"/>
  <c r="U27" i="3"/>
  <c r="U29" i="3" s="1"/>
  <c r="D19" i="2" s="1"/>
  <c r="DE13" i="3"/>
  <c r="DG13" i="3" s="1"/>
  <c r="DP15" i="3"/>
  <c r="M22" i="3"/>
  <c r="K25" i="3"/>
  <c r="B49" i="2"/>
  <c r="B58" i="2" s="1"/>
  <c r="T23" i="3"/>
  <c r="T10" i="3"/>
  <c r="T26" i="3"/>
  <c r="T17" i="3"/>
  <c r="T16" i="3"/>
  <c r="T11" i="3"/>
  <c r="T18" i="3"/>
  <c r="T14" i="3"/>
  <c r="L13" i="3"/>
  <c r="L15" i="3"/>
  <c r="L12" i="3"/>
  <c r="K34" i="3"/>
  <c r="K35" i="3" s="1"/>
  <c r="L22" i="3"/>
  <c r="M12" i="3"/>
  <c r="N12" i="3"/>
  <c r="L11" i="3"/>
  <c r="G7" i="2"/>
  <c r="F4" i="5"/>
  <c r="G13" i="2"/>
  <c r="F10" i="5"/>
  <c r="F5" i="5"/>
  <c r="G8" i="2"/>
  <c r="F9" i="5"/>
  <c r="G12" i="2"/>
  <c r="D61" i="2"/>
  <c r="I10" i="2"/>
  <c r="D7" i="4"/>
  <c r="F7" i="4" s="1"/>
  <c r="H10" i="2" s="1"/>
  <c r="F12" i="5"/>
  <c r="G15" i="2"/>
  <c r="F8" i="5"/>
  <c r="G11" i="2"/>
  <c r="J26" i="3"/>
  <c r="P26" i="3" s="1"/>
  <c r="D8" i="4"/>
  <c r="F8" i="4" s="1"/>
  <c r="H11" i="2" s="1"/>
  <c r="I11" i="2"/>
  <c r="D4" i="4"/>
  <c r="F4" i="4" s="1"/>
  <c r="H7" i="2" s="1"/>
  <c r="J12" i="2" s="1"/>
  <c r="I7" i="2"/>
  <c r="K15" i="2" s="1"/>
  <c r="D13" i="5"/>
  <c r="I16" i="2"/>
  <c r="D5" i="4"/>
  <c r="F5" i="4" s="1"/>
  <c r="H8" i="2" s="1"/>
  <c r="I8" i="2"/>
  <c r="DL15" i="3"/>
  <c r="G10" i="2"/>
  <c r="F7" i="5"/>
  <c r="DE11" i="3"/>
  <c r="DG11" i="3" s="1"/>
  <c r="DG25" i="3"/>
  <c r="DE42" i="3"/>
  <c r="DG42" i="3" s="1"/>
  <c r="T21" i="3"/>
  <c r="M33" i="3"/>
  <c r="N33" i="3"/>
  <c r="J25" i="3"/>
  <c r="P25" i="3" s="1"/>
  <c r="L25" i="3"/>
  <c r="K26" i="3"/>
  <c r="L34" i="3"/>
  <c r="L35" i="3" s="1"/>
  <c r="K42" i="3"/>
  <c r="M25" i="3"/>
  <c r="L26" i="3"/>
  <c r="M34" i="3"/>
  <c r="L42" i="3"/>
  <c r="K10" i="3"/>
  <c r="DG12" i="3"/>
  <c r="L14" i="3"/>
  <c r="L16" i="3"/>
  <c r="M18" i="3"/>
  <c r="L20" i="3"/>
  <c r="K23" i="3"/>
  <c r="M26" i="3"/>
  <c r="M42" i="3"/>
  <c r="L10" i="3"/>
  <c r="T13" i="3"/>
  <c r="N19" i="3"/>
  <c r="M20" i="3"/>
  <c r="L23" i="3"/>
  <c r="N42" i="3"/>
  <c r="M11" i="3"/>
  <c r="K14" i="3"/>
  <c r="K16" i="3"/>
  <c r="L17" i="3"/>
  <c r="L18" i="3"/>
  <c r="L19" i="3"/>
  <c r="K20" i="3"/>
  <c r="M17" i="3"/>
  <c r="M19" i="3"/>
  <c r="N34" i="3"/>
  <c r="M14" i="3"/>
  <c r="M16" i="3"/>
  <c r="M10" i="3"/>
  <c r="N14" i="3"/>
  <c r="N16" i="3"/>
  <c r="K21" i="3"/>
  <c r="M23" i="3"/>
  <c r="M15" i="3"/>
  <c r="K17" i="3"/>
  <c r="K18" i="3"/>
  <c r="K19" i="3"/>
  <c r="N10" i="3"/>
  <c r="K12" i="3"/>
  <c r="Q42" i="3"/>
  <c r="T12" i="3"/>
  <c r="T15" i="3"/>
  <c r="M21" i="3"/>
  <c r="R42" i="3"/>
  <c r="T22" i="3"/>
  <c r="T25" i="3"/>
  <c r="S42" i="3"/>
  <c r="T42" i="3"/>
  <c r="T19" i="3"/>
  <c r="T20" i="3"/>
  <c r="F27" i="7"/>
  <c r="D21" i="7" s="1"/>
  <c r="D22" i="7" s="1"/>
  <c r="S13" i="3" l="1"/>
  <c r="R13" i="3"/>
  <c r="R12" i="3"/>
  <c r="S12" i="3"/>
  <c r="P13" i="3"/>
  <c r="Q12" i="3"/>
  <c r="H10" i="3"/>
  <c r="J10" i="3" s="1"/>
  <c r="O24" i="3"/>
  <c r="Q11" i="3"/>
  <c r="R11" i="3"/>
  <c r="S24" i="3"/>
  <c r="R24" i="3"/>
  <c r="Q24" i="3"/>
  <c r="P24" i="3"/>
  <c r="U37" i="3"/>
  <c r="S11" i="3"/>
  <c r="Q20" i="3"/>
  <c r="S19" i="3"/>
  <c r="P21" i="3"/>
  <c r="Q19" i="3"/>
  <c r="P19" i="3"/>
  <c r="S21" i="3"/>
  <c r="S14" i="3"/>
  <c r="S18" i="3"/>
  <c r="R14" i="3"/>
  <c r="P14" i="3"/>
  <c r="O22" i="3"/>
  <c r="Q18" i="3"/>
  <c r="DO13" i="3"/>
  <c r="DM13" i="3"/>
  <c r="DN13" i="3"/>
  <c r="S26" i="3"/>
  <c r="R20" i="3"/>
  <c r="P18" i="3"/>
  <c r="Q21" i="3"/>
  <c r="S20" i="3"/>
  <c r="Q25" i="3"/>
  <c r="O21" i="3"/>
  <c r="O13" i="3"/>
  <c r="S15" i="3"/>
  <c r="R15" i="3"/>
  <c r="P15" i="3"/>
  <c r="O18" i="3"/>
  <c r="O12" i="3"/>
  <c r="M35" i="3"/>
  <c r="N35" i="3"/>
  <c r="O17" i="3"/>
  <c r="O15" i="3"/>
  <c r="O20" i="3"/>
  <c r="O25" i="3"/>
  <c r="O16" i="3"/>
  <c r="T27" i="3"/>
  <c r="K11" i="2"/>
  <c r="O14" i="3"/>
  <c r="O11" i="3"/>
  <c r="DM42" i="3"/>
  <c r="DO42" i="3"/>
  <c r="DN42" i="3"/>
  <c r="DG15" i="3"/>
  <c r="DN11" i="3"/>
  <c r="DO11" i="3"/>
  <c r="DM11" i="3"/>
  <c r="J11" i="2"/>
  <c r="J16" i="3"/>
  <c r="J13" i="2"/>
  <c r="J10" i="2"/>
  <c r="J8" i="2"/>
  <c r="K10" i="2"/>
  <c r="J23" i="3"/>
  <c r="J9" i="2"/>
  <c r="L27" i="3"/>
  <c r="O42" i="3"/>
  <c r="O23" i="3"/>
  <c r="O26" i="3"/>
  <c r="R25" i="3"/>
  <c r="K8" i="2"/>
  <c r="J14" i="2"/>
  <c r="J22" i="3"/>
  <c r="K16" i="2"/>
  <c r="DO12" i="3"/>
  <c r="DN12" i="3"/>
  <c r="DM12" i="3"/>
  <c r="F13" i="5"/>
  <c r="H16" i="2" s="1"/>
  <c r="J16" i="2" s="1"/>
  <c r="G16" i="2"/>
  <c r="M27" i="3"/>
  <c r="J15" i="2"/>
  <c r="K12" i="2"/>
  <c r="K14" i="2"/>
  <c r="Q26" i="3"/>
  <c r="S25" i="3"/>
  <c r="K13" i="2"/>
  <c r="K9" i="2"/>
  <c r="R26" i="3"/>
  <c r="O10" i="3"/>
  <c r="K27" i="3"/>
  <c r="N27" i="3"/>
  <c r="O19" i="3"/>
  <c r="J17" i="3"/>
  <c r="Q10" i="3" l="1"/>
  <c r="P10" i="3"/>
  <c r="S10" i="3"/>
  <c r="R10" i="3"/>
  <c r="DN15" i="3"/>
  <c r="DM15" i="3"/>
  <c r="DO15" i="3"/>
  <c r="O35" i="3"/>
  <c r="Q23" i="3"/>
  <c r="P23" i="3"/>
  <c r="R23" i="3"/>
  <c r="S23" i="3"/>
  <c r="Q16" i="3"/>
  <c r="P16" i="3"/>
  <c r="R16" i="3"/>
  <c r="S16" i="3"/>
  <c r="J29" i="3"/>
  <c r="D40" i="2" s="1"/>
  <c r="P22" i="3"/>
  <c r="S22" i="3"/>
  <c r="R22" i="3"/>
  <c r="Q22" i="3"/>
  <c r="P17" i="3"/>
  <c r="Q17" i="3"/>
  <c r="S17" i="3"/>
  <c r="R17" i="3"/>
  <c r="H29" i="3"/>
  <c r="O29" i="3"/>
  <c r="O37" i="3" l="1"/>
  <c r="D20" i="2" s="1"/>
  <c r="Q27" i="3"/>
  <c r="Q29" i="3" s="1"/>
  <c r="D37" i="2" s="1"/>
  <c r="P27" i="3"/>
  <c r="P29" i="3" s="1"/>
  <c r="D36" i="2" s="1"/>
  <c r="S27" i="3"/>
  <c r="R27" i="3"/>
  <c r="T29" i="3" l="1"/>
  <c r="D35" i="2" s="1"/>
  <c r="D49" i="2" s="1"/>
  <c r="D58" i="2" l="1"/>
  <c r="D6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9" authorId="0" shapeId="0" xr:uid="{00000000-0006-0000-0100-000008000000}">
      <text>
        <r>
          <rPr>
            <sz val="10"/>
            <color rgb="FF000000"/>
            <rFont val="Arial"/>
            <scheme val="minor"/>
          </rPr>
          <t>======
ID#AAACFbZ7OdQ
Lee Walden    (2026-08-10 11:58:41)
$200.00 per month per employee, to make up for insurance deductable.</t>
        </r>
      </text>
    </comment>
    <comment ref="A22" authorId="0" shapeId="0" xr:uid="{00000000-0006-0000-0100-000007000000}">
      <text>
        <r>
          <rPr>
            <sz val="10"/>
            <color rgb="FF000000"/>
            <rFont val="Arial"/>
            <scheme val="minor"/>
          </rPr>
          <t>======
ID#AAACFbZ7Odk
Cyndi     (2026-08-10 11:58:41)
I combined Engineering and/District work</t>
        </r>
      </text>
    </comment>
    <comment ref="A27" authorId="0" shapeId="0" xr:uid="{00000000-0006-0000-0100-000005000000}">
      <text>
        <r>
          <rPr>
            <sz val="10"/>
            <color rgb="FF000000"/>
            <rFont val="Arial"/>
            <scheme val="minor"/>
          </rPr>
          <t>======
ID#AAACFbZ7Odg
Ares    (2026-08-10 11:58:41)
Deisel, oil, DEF</t>
        </r>
      </text>
    </comment>
    <comment ref="A28" authorId="0" shapeId="0" xr:uid="{00000000-0006-0000-0100-000004000000}">
      <text>
        <r>
          <rPr>
            <sz val="10"/>
            <color rgb="FF000000"/>
            <rFont val="Arial"/>
            <scheme val="minor"/>
          </rPr>
          <t>======
ID#AAACFbZ7Oco
Ares    (2026-08-10 11:58:41)
2 mowings tractors &amp; skid steer</t>
        </r>
      </text>
    </comment>
    <comment ref="A30" authorId="0" shapeId="0" xr:uid="{00000000-0006-0000-0100-000003000000}">
      <text>
        <r>
          <rPr>
            <sz val="10"/>
            <color rgb="FF000000"/>
            <rFont val="Arial"/>
            <scheme val="minor"/>
          </rPr>
          <t>======
ID#AAACFbZ7OdE
Ares    (2026-08-10 11:58:41)
Mini Excavater &amp; 51P Dozer</t>
        </r>
      </text>
    </comment>
    <comment ref="A32" authorId="0" shapeId="0" xr:uid="{00000000-0006-0000-0100-000002000000}">
      <text>
        <r>
          <rPr>
            <sz val="10"/>
            <color rgb="FF000000"/>
            <rFont val="Arial"/>
            <scheme val="minor"/>
          </rPr>
          <t>======
ID#AAACFbZ7Ocw
Ares    (2026-08-10 11:58:41)
office equipment , supplies, renual fees, and expwnces, internet, starlink</t>
        </r>
      </text>
    </comment>
    <comment ref="C34" authorId="0" shapeId="0" xr:uid="{00000000-0006-0000-0100-000001000000}">
      <text>
        <r>
          <rPr>
            <sz val="10"/>
            <color rgb="FF000000"/>
            <rFont val="Arial"/>
            <scheme val="minor"/>
          </rPr>
          <t>======
ID#AAACFbZ7OdU
Cyndi     (2026-08-10 11:58:41)
Based on totals as of 8/6/2025</t>
        </r>
      </text>
    </comment>
    <comment ref="A36" authorId="0" shapeId="0" xr:uid="{00000000-0006-0000-0100-000011000000}">
      <text>
        <r>
          <rPr>
            <sz val="10"/>
            <color rgb="FF000000"/>
            <rFont val="Arial"/>
            <scheme val="minor"/>
          </rPr>
          <t>======
ID#AAACFbZ7OdI
Lee Walden    (2026-08-10 11:58:41)
Contribution by DD5 to employee retirement</t>
        </r>
      </text>
    </comment>
    <comment ref="A37" authorId="0" shapeId="0" xr:uid="{00000000-0006-0000-0100-000010000000}">
      <text>
        <r>
          <rPr>
            <sz val="10"/>
            <color rgb="FF000000"/>
            <rFont val="Arial"/>
            <scheme val="minor"/>
          </rPr>
          <t>======
ID#AAACFbZ7Oc0
Lee Walden    (2026-08-10 11:58:41)
Contribution by DD5 to employee retirement</t>
        </r>
      </text>
    </comment>
    <comment ref="A38" authorId="0" shapeId="0" xr:uid="{00000000-0006-0000-0100-00000F000000}">
      <text>
        <r>
          <rPr>
            <sz val="10"/>
            <color rgb="FF000000"/>
            <rFont val="Arial"/>
            <scheme val="minor"/>
          </rPr>
          <t>======
ID#AAACFbZ7Odc
Lee Walden    (2026-08-10 11:58:41)
Emplyee used phones
office phones
5@50, 17@25, $91 for office phone</t>
        </r>
      </text>
    </comment>
    <comment ref="A39" authorId="0" shapeId="0" xr:uid="{00000000-0006-0000-0100-00000E000000}">
      <text>
        <r>
          <rPr>
            <sz val="10"/>
            <color rgb="FF000000"/>
            <rFont val="Arial"/>
            <scheme val="minor"/>
          </rPr>
          <t>======
ID#AAACFbZ7OdA
Lee Walden    (2026-08-10 11:58:41)
Fire
First Aid
Water
safety equipment</t>
        </r>
      </text>
    </comment>
    <comment ref="A41" authorId="0" shapeId="0" xr:uid="{00000000-0006-0000-0100-00000D000000}">
      <text>
        <r>
          <rPr>
            <sz val="10"/>
            <color rgb="FF000000"/>
            <rFont val="Arial"/>
            <scheme val="minor"/>
          </rPr>
          <t>======
ID#AAACFbZ7OdM
Lee Walden    (2026-08-10 11:58:41)
GPS tracking
Site Security
Camera</t>
        </r>
      </text>
    </comment>
    <comment ref="A42" authorId="0" shapeId="0" xr:uid="{00000000-0006-0000-0100-00000C000000}">
      <text>
        <r>
          <rPr>
            <sz val="10"/>
            <color rgb="FF000000"/>
            <rFont val="Arial"/>
            <scheme val="minor"/>
          </rPr>
          <t>======
ID#AAACFbZ7OdY
Ares    (2026-08-10 11:58:41)
cleaning supplies, TP, paper towerls, welding chain sawa, pumps,</t>
        </r>
      </text>
    </comment>
    <comment ref="A44" authorId="0" shapeId="0" xr:uid="{00000000-0006-0000-0100-00000B000000}">
      <text>
        <r>
          <rPr>
            <sz val="10"/>
            <color rgb="FF000000"/>
            <rFont val="Arial"/>
            <scheme val="minor"/>
          </rPr>
          <t>======
ID#AAACFbZ7Ocs
Ares    (2026-08-10 11:58:41)
chains, shackles, crane</t>
        </r>
      </text>
    </comment>
    <comment ref="A47" authorId="0" shapeId="0" xr:uid="{00000000-0006-0000-0100-00000A000000}">
      <text>
        <r>
          <rPr>
            <sz val="10"/>
            <color rgb="FF000000"/>
            <rFont val="Arial"/>
            <scheme val="minor"/>
          </rPr>
          <t>======
ID#AAACFbZ7Oc8
Lee Walden    (2026-08-10 11:58:41)
Trash pickup
Gas &amp; Electric</t>
        </r>
      </text>
    </comment>
    <comment ref="A48" authorId="0" shapeId="0" xr:uid="{00000000-0006-0000-0100-000009000000}">
      <text>
        <r>
          <rPr>
            <sz val="10"/>
            <color rgb="FF000000"/>
            <rFont val="Arial"/>
            <scheme val="minor"/>
          </rPr>
          <t>======
ID#AAACFbZ7Odo
Ares    (2026-08-10 11:58:41)
shirts, pants ($30.00) boots</t>
        </r>
      </text>
    </comment>
    <comment ref="A58" authorId="0" shapeId="0" xr:uid="{00000000-0006-0000-0100-000006000000}">
      <text>
        <r>
          <rPr>
            <sz val="10"/>
            <color rgb="FF000000"/>
            <rFont val="Arial"/>
            <scheme val="minor"/>
          </rPr>
          <t>======
ID#AAACFbZ7Ock
Lee Walden    (2026-08-10 11:58:41)
2% tax increase, selected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TFvpWnFGIANItxDjm4GPZHrZqQw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28" authorId="0" shapeId="0" xr:uid="{00000000-0006-0000-0200-000001000000}">
      <text>
        <r>
          <rPr>
            <sz val="10"/>
            <color rgb="FF000000"/>
            <rFont val="Arial"/>
            <scheme val="minor"/>
          </rPr>
          <t>======
ID#AAACFbZ7Oc4
Ares    (2026-08-10 11:58:41)
Based of SS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bSBR/u88biLlEwdheNTFne4eSzQ=="/>
    </ext>
  </extLst>
</comments>
</file>

<file path=xl/sharedStrings.xml><?xml version="1.0" encoding="utf-8"?>
<sst xmlns="http://schemas.openxmlformats.org/spreadsheetml/2006/main" count="393" uniqueCount="225">
  <si>
    <t>Summary over the years</t>
  </si>
  <si>
    <t>Appraised</t>
  </si>
  <si>
    <t>Tax Rate</t>
  </si>
  <si>
    <t>Percent Raised</t>
  </si>
  <si>
    <t>Tax Revenue</t>
  </si>
  <si>
    <t>Brazoria County Dranage District Budget 2026/2027</t>
  </si>
  <si>
    <t>Taxable value</t>
  </si>
  <si>
    <t>value of house</t>
  </si>
  <si>
    <t>Brazoria County Drainage District #5</t>
  </si>
  <si>
    <t>per 100</t>
  </si>
  <si>
    <t xml:space="preserve">      Budget Item</t>
  </si>
  <si>
    <t>2026 BRAZORIA DRAINAGE DISTRICT NO. 5</t>
  </si>
  <si>
    <t>Final Budget 2026 - 2027</t>
  </si>
  <si>
    <t>Working Budget 2025-2026</t>
  </si>
  <si>
    <t>Advertising</t>
  </si>
  <si>
    <t>Merrit raise 6 months =</t>
  </si>
  <si>
    <t>2026 Tax rate is per $ 100 Taxable value =</t>
  </si>
  <si>
    <t>Tax Rate was</t>
  </si>
  <si>
    <t>Auditor</t>
  </si>
  <si>
    <t xml:space="preserve">DD5 </t>
  </si>
  <si>
    <t>Employer pays</t>
  </si>
  <si>
    <t>Last Year
M&amp;O Tax Avg Residence Homestead</t>
  </si>
  <si>
    <t>Increase in budget</t>
  </si>
  <si>
    <t>% Increase</t>
  </si>
  <si>
    <t>Increase in  cost in tax</t>
  </si>
  <si>
    <t>Average Tax</t>
  </si>
  <si>
    <t>Merrit rast 6 months =</t>
  </si>
  <si>
    <t>Rate</t>
  </si>
  <si>
    <t>2026 Taxable Value</t>
  </si>
  <si>
    <t>2020-2021 Saleries, Payroll tax &amp; Retirement</t>
  </si>
  <si>
    <t>Tax Revenue Generated</t>
  </si>
  <si>
    <t>Braz. County Assistance</t>
  </si>
  <si>
    <t xml:space="preserve">% increase    </t>
  </si>
  <si>
    <t xml:space="preserve">  Rate   </t>
  </si>
  <si>
    <t>Generated Tax Revenue</t>
  </si>
  <si>
    <t>Book Keeper</t>
  </si>
  <si>
    <t>2012 Saleries, Payroll tax &amp; Retirement</t>
  </si>
  <si>
    <t>Hourly</t>
  </si>
  <si>
    <t xml:space="preserve">First of </t>
  </si>
  <si>
    <t>Merrit</t>
  </si>
  <si>
    <t>Months</t>
  </si>
  <si>
    <t>yearly</t>
  </si>
  <si>
    <t>Total</t>
  </si>
  <si>
    <t>Insurance per month</t>
  </si>
  <si>
    <t>insurance</t>
  </si>
  <si>
    <t>Retirement</t>
  </si>
  <si>
    <t>Taxes</t>
  </si>
  <si>
    <t xml:space="preserve">Braz. County Appraisal </t>
  </si>
  <si>
    <t>NO TAX INCREASE</t>
  </si>
  <si>
    <t>rate</t>
  </si>
  <si>
    <t xml:space="preserve">Year </t>
  </si>
  <si>
    <t>after</t>
  </si>
  <si>
    <t>Raise</t>
  </si>
  <si>
    <t>of</t>
  </si>
  <si>
    <t>work</t>
  </si>
  <si>
    <t>Wages</t>
  </si>
  <si>
    <t>2025 BRAZORIA DRAINAGE DISTRICT NO. 5</t>
  </si>
  <si>
    <t>Life</t>
  </si>
  <si>
    <t>AD&amp;D</t>
  </si>
  <si>
    <t>Health</t>
  </si>
  <si>
    <t xml:space="preserve">1/2 Family </t>
  </si>
  <si>
    <t>per year</t>
  </si>
  <si>
    <t>SSE</t>
  </si>
  <si>
    <t>ME</t>
  </si>
  <si>
    <t>TWFC</t>
  </si>
  <si>
    <t>Credit Card</t>
  </si>
  <si>
    <t xml:space="preserve">Building Improvements </t>
  </si>
  <si>
    <t>Design of New Office Building</t>
  </si>
  <si>
    <t>Rast</t>
  </si>
  <si>
    <t>1/2 Fammily</t>
  </si>
  <si>
    <t>$ / hr</t>
  </si>
  <si>
    <t>merrit</t>
  </si>
  <si>
    <t>COL</t>
  </si>
  <si>
    <t xml:space="preserve"> @ 6 months</t>
  </si>
  <si>
    <t>New Office Building</t>
  </si>
  <si>
    <t>marret</t>
  </si>
  <si>
    <t>hours</t>
  </si>
  <si>
    <t>Chemical Spraying</t>
  </si>
  <si>
    <t>2025-2026</t>
  </si>
  <si>
    <t>Commish Expenses</t>
  </si>
  <si>
    <t>Commish Salary</t>
  </si>
  <si>
    <t>rase</t>
  </si>
  <si>
    <t>Adam Eversole</t>
  </si>
  <si>
    <t>Educational Classes ( CDL)</t>
  </si>
  <si>
    <t>Tax Election Tax Rate</t>
  </si>
  <si>
    <t>Election 2025</t>
  </si>
  <si>
    <t>Home Average Apprased Value =</t>
  </si>
  <si>
    <t>You can adopt up to this rate without triggering an election.</t>
  </si>
  <si>
    <t>Employee Insurance Credit Card</t>
  </si>
  <si>
    <t>Last Year's Average Home Taxes:</t>
  </si>
  <si>
    <t xml:space="preserve">Line 5 </t>
  </si>
  <si>
    <t>Billy Dean Norsworthy</t>
  </si>
  <si>
    <t>This Year's Average Home Taxable Value:</t>
  </si>
  <si>
    <t>2026 Drainage Distract tax =</t>
  </si>
  <si>
    <t>Line 9</t>
  </si>
  <si>
    <t>Cyndi Humphrey</t>
  </si>
  <si>
    <t>Employee Insurance</t>
  </si>
  <si>
    <t xml:space="preserve">2025 Revenue Required </t>
  </si>
  <si>
    <t>2025 Taxable Value</t>
  </si>
  <si>
    <t>Rate to Generate Required Revenue</t>
  </si>
  <si>
    <t>Enter Revenue Required HERE -----&gt;</t>
  </si>
  <si>
    <t>Engineering District Work</t>
  </si>
  <si>
    <t>Mellinda Bahr</t>
  </si>
  <si>
    <t xml:space="preserve">Engineering New Projects </t>
  </si>
  <si>
    <t>Be sure this rate does not exceed the Tax Election Tax Rate</t>
  </si>
  <si>
    <t>2025 Tax Levy</t>
  </si>
  <si>
    <t>Mowng Tractors (purchase)</t>
  </si>
  <si>
    <t>Difference</t>
  </si>
  <si>
    <t>Long Reach Excavator</t>
  </si>
  <si>
    <t>Weldon Nanson</t>
  </si>
  <si>
    <t>Equipment Upkeep</t>
  </si>
  <si>
    <t>2024 Inforrmation</t>
  </si>
  <si>
    <t>Fence Mat. &amp; Labor</t>
  </si>
  <si>
    <t>Walter Stehle</t>
  </si>
  <si>
    <t>2024 Value</t>
  </si>
  <si>
    <t>2024 Tax Rate</t>
  </si>
  <si>
    <t>2024 Tax Levy</t>
  </si>
  <si>
    <t>Fuel &amp; Supplies</t>
  </si>
  <si>
    <t>Equipment Lease</t>
  </si>
  <si>
    <t>Darren Champion</t>
  </si>
  <si>
    <t>Insurance Build/Liability</t>
  </si>
  <si>
    <t>New Equipment</t>
  </si>
  <si>
    <t>Benny Perez</t>
  </si>
  <si>
    <t>Increase =</t>
  </si>
  <si>
    <t>Legal</t>
  </si>
  <si>
    <t>Scott Jakubec</t>
  </si>
  <si>
    <t>Office Supply &amp; Expences</t>
  </si>
  <si>
    <t xml:space="preserve">Pipe </t>
  </si>
  <si>
    <t>Comp &amp; Vacation  Time Payout</t>
  </si>
  <si>
    <t xml:space="preserve"> </t>
  </si>
  <si>
    <t>Colt Lee Hough</t>
  </si>
  <si>
    <t xml:space="preserve">Payroll tax </t>
  </si>
  <si>
    <t>Retirement paid by DD5</t>
  </si>
  <si>
    <t>Retirement paid by Employee</t>
  </si>
  <si>
    <t>George Volarik</t>
  </si>
  <si>
    <t>Phone</t>
  </si>
  <si>
    <t>Safety</t>
  </si>
  <si>
    <t>Salaries</t>
  </si>
  <si>
    <t>Cost of living increase</t>
  </si>
  <si>
    <t>Hayden Wisnoski</t>
  </si>
  <si>
    <t>This is the percentage for insurance and wages of the District budget.</t>
  </si>
  <si>
    <t>Security</t>
  </si>
  <si>
    <t>Shop Supplies</t>
  </si>
  <si>
    <t>Total Wages</t>
  </si>
  <si>
    <t>Tax office Commissions</t>
  </si>
  <si>
    <t>Payroll tax &amp; Retirement =</t>
  </si>
  <si>
    <t>Tools and Supplies</t>
  </si>
  <si>
    <t>Tony Champion</t>
  </si>
  <si>
    <t>chev, 2500</t>
  </si>
  <si>
    <t>Tires</t>
  </si>
  <si>
    <t>Utilities</t>
  </si>
  <si>
    <t>William Eversole</t>
  </si>
  <si>
    <t>Uniforms</t>
  </si>
  <si>
    <t>Totals</t>
  </si>
  <si>
    <t>Total Budget less any income from below</t>
  </si>
  <si>
    <t>Purchase of New Building (from reservss)</t>
  </si>
  <si>
    <t>Michael Jakubec</t>
  </si>
  <si>
    <t>Income below</t>
  </si>
  <si>
    <t>Pipeline Permits</t>
  </si>
  <si>
    <t>Intrest Income</t>
  </si>
  <si>
    <t xml:space="preserve">2026 Revenue Required </t>
  </si>
  <si>
    <t>taxable value from first page Net Taxable Value</t>
  </si>
  <si>
    <t>Other (sale of equipmet)</t>
  </si>
  <si>
    <t>Payment for Penitelies</t>
  </si>
  <si>
    <t>Payment of Inspection Fees</t>
  </si>
  <si>
    <t>Payment of Plat Fees</t>
  </si>
  <si>
    <t xml:space="preserve">Final Budget  </t>
  </si>
  <si>
    <t>Budget value based on Tax revinew</t>
  </si>
  <si>
    <t>Tax Income</t>
  </si>
  <si>
    <t>2026 Tax Levy</t>
  </si>
  <si>
    <t>Tax Revinew</t>
  </si>
  <si>
    <t>Proposed Tax Rate for 2026-2027</t>
  </si>
  <si>
    <t xml:space="preserve"> %</t>
  </si>
  <si>
    <t>Balance</t>
  </si>
  <si>
    <t>Rate times number</t>
  </si>
  <si>
    <t>Number of</t>
  </si>
  <si>
    <t>Scott Guajarado</t>
  </si>
  <si>
    <t>TML Medical Insurance 2024 Rates</t>
  </si>
  <si>
    <t>of Employees</t>
  </si>
  <si>
    <t>Employees</t>
  </si>
  <si>
    <t>Employees Insurance</t>
  </si>
  <si>
    <t>Family Insurance</t>
  </si>
  <si>
    <t xml:space="preserve"> 1/2 of Emploee</t>
  </si>
  <si>
    <t>2025 Inforrmation</t>
  </si>
  <si>
    <t>Employees AD&amp;D</t>
  </si>
  <si>
    <t>Landon Blagg</t>
  </si>
  <si>
    <t>Employees Life</t>
  </si>
  <si>
    <t>Projected Cost Of Living Increase</t>
  </si>
  <si>
    <t>2025 Value</t>
  </si>
  <si>
    <t>2025 Tax Rate</t>
  </si>
  <si>
    <t>Charles Vavrecka</t>
  </si>
  <si>
    <t>Texas County and District Retirement 2026 Rate</t>
  </si>
  <si>
    <t>Employer Contribution Rate</t>
  </si>
  <si>
    <t>Employee Deposit Rate</t>
  </si>
  <si>
    <t>Hunter Vavrecka</t>
  </si>
  <si>
    <t>Social Security 2026 Rate</t>
  </si>
  <si>
    <t>New</t>
  </si>
  <si>
    <t>Employer Rate</t>
  </si>
  <si>
    <t>Employee Rate</t>
  </si>
  <si>
    <t>Medicare 2026 Rate</t>
  </si>
  <si>
    <t>Texas Work Force Commision</t>
  </si>
  <si>
    <t>Commisioners Insurance</t>
  </si>
  <si>
    <t>Lee Walden</t>
  </si>
  <si>
    <t>Kerry Osborn</t>
  </si>
  <si>
    <t>Branson Middleton</t>
  </si>
  <si>
    <t>`</t>
  </si>
  <si>
    <t>Saul Guarjardo</t>
  </si>
  <si>
    <t>2024 BRAZORIA DRAINAGE DISTRICT NO. 5</t>
  </si>
  <si>
    <t>2023 Taxable Value</t>
  </si>
  <si>
    <t xml:space="preserve">2024 Revenue Required </t>
  </si>
  <si>
    <t>2024 Taxable Value</t>
  </si>
  <si>
    <t>2023Tax Levy</t>
  </si>
  <si>
    <t>2023 Inforrmation</t>
  </si>
  <si>
    <t>2023 Value</t>
  </si>
  <si>
    <t>2023 Tax Rate</t>
  </si>
  <si>
    <t>2022 Tax Levy</t>
  </si>
  <si>
    <t>2023 BRAZORIA DRAINAGE DISTRICT NO. 5</t>
  </si>
  <si>
    <t xml:space="preserve">2023 Revenue Required </t>
  </si>
  <si>
    <t>2022 Inforrmation</t>
  </si>
  <si>
    <t>2022 Value</t>
  </si>
  <si>
    <t>2022 Tax Rate</t>
  </si>
  <si>
    <t>Budget 25-26</t>
  </si>
  <si>
    <t>Budget spent as of 8/6/2026</t>
  </si>
  <si>
    <t>Contingency</t>
  </si>
  <si>
    <t>Riprap, Gravel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</si>
</sst>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00000"/>
    <numFmt numFmtId="166" formatCode="&quot;$&quot;#,##0.000_);[Red]\(&quot;$&quot;#,##0.000\)"/>
    <numFmt numFmtId="167" formatCode="_(&quot;$&quot;* #,##0.000000_);_(&quot;$&quot;* \(#,##0.000000\);_(&quot;$&quot;* &quot;-&quot;????_);_(@_)"/>
    <numFmt numFmtId="168" formatCode="0.0%"/>
    <numFmt numFmtId="169" formatCode="0.0000"/>
    <numFmt numFmtId="170" formatCode="_(&quot;$&quot;* #,##0.000000_);_(&quot;$&quot;* \(#,##0.000000\);_(&quot;$&quot;* &quot;-&quot;??_);_(@_)"/>
    <numFmt numFmtId="171" formatCode="_(&quot;$&quot;* #,##0_);_(&quot;$&quot;* \(#,##0\);_(&quot;$&quot;* &quot;-&quot;??_);_(@_)"/>
    <numFmt numFmtId="172" formatCode="&quot;$&quot;#,##0.000000_);\(&quot;$&quot;#,##0.000000\)"/>
    <numFmt numFmtId="173" formatCode="_(&quot;$&quot;* #,##0.000000_);_(&quot;$&quot;* \(#,##0.000000\);_(&quot;$&quot;* &quot;-&quot;??????_);_(@_)"/>
    <numFmt numFmtId="174" formatCode="mm/dd/yyyy"/>
    <numFmt numFmtId="175" formatCode="&quot;$&quot;#,##0.00"/>
  </numFmts>
  <fonts count="20" x14ac:knownFonts="1">
    <font>
      <sz val="10"/>
      <color rgb="FF000000"/>
      <name val="Arial"/>
      <scheme val="minor"/>
    </font>
    <font>
      <sz val="18"/>
      <color theme="1"/>
      <name val="Arial"/>
    </font>
    <font>
      <sz val="10"/>
      <color theme="1"/>
      <name val="Arial"/>
      <scheme val="minor"/>
    </font>
    <font>
      <sz val="9"/>
      <color theme="1"/>
      <name val="Arial"/>
    </font>
    <font>
      <sz val="10"/>
      <color theme="1"/>
      <name val="Arial"/>
    </font>
    <font>
      <sz val="10"/>
      <name val="Arial"/>
    </font>
    <font>
      <sz val="12"/>
      <color theme="1"/>
      <name val="Arial"/>
    </font>
    <font>
      <b/>
      <sz val="14"/>
      <color theme="0"/>
      <name val="Arial"/>
    </font>
    <font>
      <b/>
      <sz val="10"/>
      <color theme="1"/>
      <name val="Arial"/>
    </font>
    <font>
      <sz val="8"/>
      <color theme="1"/>
      <name val="Arial"/>
    </font>
    <font>
      <sz val="12"/>
      <color rgb="FFFF0000"/>
      <name val="Arial"/>
    </font>
    <font>
      <b/>
      <sz val="10"/>
      <color rgb="FFFF0000"/>
      <name val="Arial"/>
    </font>
    <font>
      <u/>
      <sz val="10"/>
      <color theme="1"/>
      <name val="Arial"/>
    </font>
    <font>
      <b/>
      <u/>
      <sz val="10"/>
      <color theme="1"/>
      <name val="Arial"/>
    </font>
    <font>
      <b/>
      <sz val="12"/>
      <color theme="1"/>
      <name val="Arial"/>
    </font>
    <font>
      <sz val="8"/>
      <color rgb="FFFF0000"/>
      <name val="Arial"/>
    </font>
    <font>
      <b/>
      <sz val="8"/>
      <color theme="1"/>
      <name val="Arial"/>
    </font>
    <font>
      <sz val="12"/>
      <color theme="1"/>
      <name val="Arial"/>
      <family val="2"/>
    </font>
    <font>
      <sz val="16"/>
      <color rgb="FF000000"/>
      <name val="Arial"/>
      <family val="2"/>
      <scheme val="minor"/>
    </font>
    <font>
      <sz val="16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BD4B4"/>
        <bgColor rgb="FFFBD4B4"/>
      </patternFill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00CCFF"/>
        <bgColor rgb="FF00CCFF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Alignment="1">
      <alignment horizontal="center"/>
    </xf>
    <xf numFmtId="9" fontId="1" fillId="3" borderId="4" xfId="0" applyNumberFormat="1" applyFont="1" applyFill="1" applyBorder="1"/>
    <xf numFmtId="43" fontId="1" fillId="0" borderId="0" xfId="0" applyNumberFormat="1" applyFont="1" applyAlignment="1">
      <alignment horizontal="right"/>
    </xf>
    <xf numFmtId="164" fontId="4" fillId="0" borderId="0" xfId="0" applyNumberFormat="1" applyFont="1"/>
    <xf numFmtId="0" fontId="6" fillId="0" borderId="5" xfId="0" applyFont="1" applyBorder="1" applyAlignment="1">
      <alignment horizontal="center" vertical="center"/>
    </xf>
    <xf numFmtId="4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/>
    </xf>
    <xf numFmtId="14" fontId="6" fillId="0" borderId="9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left"/>
    </xf>
    <xf numFmtId="43" fontId="6" fillId="3" borderId="5" xfId="0" applyNumberFormat="1" applyFont="1" applyFill="1" applyBorder="1" applyAlignment="1">
      <alignment vertical="center"/>
    </xf>
    <xf numFmtId="43" fontId="1" fillId="3" borderId="4" xfId="0" applyNumberFormat="1" applyFont="1" applyFill="1" applyBorder="1" applyAlignment="1">
      <alignment horizontal="right"/>
    </xf>
    <xf numFmtId="39" fontId="6" fillId="6" borderId="5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/>
    </xf>
    <xf numFmtId="165" fontId="1" fillId="3" borderId="4" xfId="0" applyNumberFormat="1" applyFont="1" applyFill="1" applyBorder="1" applyAlignment="1">
      <alignment horizontal="left"/>
    </xf>
    <xf numFmtId="4" fontId="4" fillId="0" borderId="0" xfId="0" applyNumberFormat="1" applyFont="1"/>
    <xf numFmtId="44" fontId="4" fillId="0" borderId="0" xfId="0" applyNumberFormat="1" applyFont="1" applyAlignment="1">
      <alignment vertical="center"/>
    </xf>
    <xf numFmtId="9" fontId="1" fillId="0" borderId="0" xfId="0" applyNumberFormat="1" applyFont="1"/>
    <xf numFmtId="44" fontId="6" fillId="0" borderId="0" xfId="0" applyNumberFormat="1" applyFont="1" applyAlignment="1">
      <alignment vertical="center"/>
    </xf>
    <xf numFmtId="166" fontId="4" fillId="0" borderId="0" xfId="0" applyNumberFormat="1" applyFont="1"/>
    <xf numFmtId="164" fontId="1" fillId="0" borderId="0" xfId="0" applyNumberFormat="1" applyFont="1"/>
    <xf numFmtId="43" fontId="4" fillId="0" borderId="0" xfId="0" applyNumberFormat="1" applyFont="1" applyAlignment="1">
      <alignment horizontal="right"/>
    </xf>
    <xf numFmtId="39" fontId="6" fillId="6" borderId="5" xfId="0" applyNumberFormat="1" applyFont="1" applyFill="1" applyBorder="1" applyAlignment="1">
      <alignment vertical="center"/>
    </xf>
    <xf numFmtId="0" fontId="8" fillId="0" borderId="11" xfId="0" applyFont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8" fillId="0" borderId="0" xfId="0" applyFont="1"/>
    <xf numFmtId="0" fontId="6" fillId="5" borderId="12" xfId="0" applyFont="1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44" fontId="6" fillId="0" borderId="0" xfId="0" applyNumberFormat="1" applyFont="1" applyAlignment="1">
      <alignment horizontal="center" vertical="center"/>
    </xf>
    <xf numFmtId="10" fontId="4" fillId="6" borderId="4" xfId="0" applyNumberFormat="1" applyFont="1" applyFill="1" applyBorder="1"/>
    <xf numFmtId="10" fontId="4" fillId="0" borderId="0" xfId="0" applyNumberFormat="1" applyFont="1"/>
    <xf numFmtId="10" fontId="6" fillId="0" borderId="0" xfId="0" applyNumberFormat="1" applyFont="1" applyAlignment="1">
      <alignment vertical="center"/>
    </xf>
    <xf numFmtId="44" fontId="4" fillId="0" borderId="0" xfId="0" applyNumberFormat="1" applyFont="1"/>
    <xf numFmtId="165" fontId="6" fillId="0" borderId="0" xfId="0" applyNumberFormat="1" applyFont="1" applyAlignment="1">
      <alignment vertical="center"/>
    </xf>
    <xf numFmtId="9" fontId="4" fillId="0" borderId="0" xfId="0" applyNumberFormat="1" applyFont="1" applyAlignment="1">
      <alignment horizontal="right"/>
    </xf>
    <xf numFmtId="42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/>
    </xf>
    <xf numFmtId="167" fontId="4" fillId="0" borderId="0" xfId="0" applyNumberFormat="1" applyFont="1"/>
    <xf numFmtId="42" fontId="4" fillId="0" borderId="0" xfId="0" applyNumberFormat="1" applyFont="1"/>
    <xf numFmtId="0" fontId="8" fillId="6" borderId="4" xfId="0" applyFont="1" applyFill="1" applyBorder="1"/>
    <xf numFmtId="3" fontId="6" fillId="0" borderId="0" xfId="0" applyNumberFormat="1" applyFont="1" applyAlignment="1">
      <alignment vertical="center"/>
    </xf>
    <xf numFmtId="2" fontId="4" fillId="0" borderId="0" xfId="0" applyNumberFormat="1" applyFont="1" applyAlignment="1">
      <alignment horizontal="center"/>
    </xf>
    <xf numFmtId="168" fontId="4" fillId="0" borderId="0" xfId="0" applyNumberFormat="1" applyFont="1" applyAlignment="1">
      <alignment horizontal="right"/>
    </xf>
    <xf numFmtId="10" fontId="6" fillId="7" borderId="4" xfId="0" applyNumberFormat="1" applyFont="1" applyFill="1" applyBorder="1" applyAlignment="1">
      <alignment vertical="center"/>
    </xf>
    <xf numFmtId="10" fontId="4" fillId="0" borderId="0" xfId="0" applyNumberFormat="1" applyFont="1" applyAlignment="1">
      <alignment horizontal="center"/>
    </xf>
    <xf numFmtId="169" fontId="4" fillId="0" borderId="0" xfId="0" applyNumberFormat="1" applyFont="1" applyAlignment="1">
      <alignment horizontal="center"/>
    </xf>
    <xf numFmtId="165" fontId="6" fillId="7" borderId="4" xfId="0" applyNumberFormat="1" applyFont="1" applyFill="1" applyBorder="1" applyAlignment="1">
      <alignment vertical="center"/>
    </xf>
    <xf numFmtId="44" fontId="6" fillId="7" borderId="4" xfId="0" applyNumberFormat="1" applyFont="1" applyFill="1" applyBorder="1" applyAlignment="1">
      <alignment vertical="center"/>
    </xf>
    <xf numFmtId="42" fontId="6" fillId="7" borderId="4" xfId="0" applyNumberFormat="1" applyFont="1" applyFill="1" applyBorder="1" applyAlignment="1">
      <alignment vertical="center"/>
    </xf>
    <xf numFmtId="0" fontId="9" fillId="0" borderId="0" xfId="0" applyFont="1" applyAlignment="1">
      <alignment horizontal="center"/>
    </xf>
    <xf numFmtId="8" fontId="9" fillId="6" borderId="4" xfId="0" applyNumberFormat="1" applyFont="1" applyFill="1" applyBorder="1"/>
    <xf numFmtId="44" fontId="4" fillId="7" borderId="4" xfId="0" applyNumberFormat="1" applyFont="1" applyFill="1" applyBorder="1"/>
    <xf numFmtId="4" fontId="9" fillId="0" borderId="0" xfId="0" applyNumberFormat="1" applyFont="1"/>
    <xf numFmtId="10" fontId="4" fillId="7" borderId="4" xfId="0" applyNumberFormat="1" applyFont="1" applyFill="1" applyBorder="1"/>
    <xf numFmtId="167" fontId="4" fillId="7" borderId="4" xfId="0" applyNumberFormat="1" applyFont="1" applyFill="1" applyBorder="1"/>
    <xf numFmtId="42" fontId="4" fillId="7" borderId="4" xfId="0" applyNumberFormat="1" applyFont="1" applyFill="1" applyBorder="1"/>
    <xf numFmtId="8" fontId="10" fillId="3" borderId="5" xfId="0" applyNumberFormat="1" applyFont="1" applyFill="1" applyBorder="1" applyAlignment="1">
      <alignment vertical="center"/>
    </xf>
    <xf numFmtId="10" fontId="6" fillId="7" borderId="13" xfId="0" applyNumberFormat="1" applyFont="1" applyFill="1" applyBorder="1" applyAlignment="1">
      <alignment vertical="center"/>
    </xf>
    <xf numFmtId="165" fontId="6" fillId="7" borderId="13" xfId="0" applyNumberFormat="1" applyFont="1" applyFill="1" applyBorder="1" applyAlignment="1">
      <alignment vertical="center"/>
    </xf>
    <xf numFmtId="0" fontId="9" fillId="0" borderId="0" xfId="0" applyFont="1"/>
    <xf numFmtId="14" fontId="9" fillId="0" borderId="0" xfId="0" applyNumberFormat="1" applyFont="1"/>
    <xf numFmtId="44" fontId="6" fillId="7" borderId="13" xfId="0" applyNumberFormat="1" applyFont="1" applyFill="1" applyBorder="1" applyAlignment="1">
      <alignment vertical="center"/>
    </xf>
    <xf numFmtId="2" fontId="9" fillId="0" borderId="0" xfId="0" applyNumberFormat="1" applyFont="1"/>
    <xf numFmtId="3" fontId="9" fillId="0" borderId="0" xfId="0" applyNumberFormat="1" applyFont="1"/>
    <xf numFmtId="42" fontId="6" fillId="7" borderId="13" xfId="0" applyNumberFormat="1" applyFont="1" applyFill="1" applyBorder="1" applyAlignment="1">
      <alignment vertical="center"/>
    </xf>
    <xf numFmtId="166" fontId="9" fillId="0" borderId="0" xfId="0" applyNumberFormat="1" applyFont="1"/>
    <xf numFmtId="9" fontId="6" fillId="0" borderId="0" xfId="0" applyNumberFormat="1" applyFont="1" applyAlignment="1">
      <alignment vertical="center"/>
    </xf>
    <xf numFmtId="8" fontId="9" fillId="0" borderId="0" xfId="0" applyNumberFormat="1" applyFont="1"/>
    <xf numFmtId="0" fontId="6" fillId="5" borderId="5" xfId="0" applyFont="1" applyFill="1" applyBorder="1" applyAlignment="1">
      <alignment horizontal="left" vertical="center"/>
    </xf>
    <xf numFmtId="170" fontId="4" fillId="0" borderId="0" xfId="0" applyNumberFormat="1" applyFont="1"/>
    <xf numFmtId="44" fontId="8" fillId="0" borderId="0" xfId="0" applyNumberFormat="1" applyFont="1"/>
    <xf numFmtId="0" fontId="6" fillId="5" borderId="12" xfId="0" applyFont="1" applyFill="1" applyBorder="1" applyAlignment="1">
      <alignment horizontal="left" vertical="center"/>
    </xf>
    <xf numFmtId="0" fontId="4" fillId="0" borderId="0" xfId="0" applyFont="1" applyAlignment="1">
      <alignment horizontal="right"/>
    </xf>
    <xf numFmtId="44" fontId="8" fillId="8" borderId="4" xfId="0" applyNumberFormat="1" applyFont="1" applyFill="1" applyBorder="1"/>
    <xf numFmtId="14" fontId="4" fillId="0" borderId="0" xfId="0" applyNumberFormat="1" applyFont="1"/>
    <xf numFmtId="2" fontId="4" fillId="0" borderId="0" xfId="0" applyNumberFormat="1" applyFont="1"/>
    <xf numFmtId="43" fontId="10" fillId="3" borderId="5" xfId="0" applyNumberFormat="1" applyFont="1" applyFill="1" applyBorder="1" applyAlignment="1">
      <alignment vertical="center"/>
    </xf>
    <xf numFmtId="3" fontId="4" fillId="0" borderId="0" xfId="0" applyNumberFormat="1" applyFont="1"/>
    <xf numFmtId="171" fontId="8" fillId="8" borderId="4" xfId="0" applyNumberFormat="1" applyFont="1" applyFill="1" applyBorder="1"/>
    <xf numFmtId="8" fontId="4" fillId="0" borderId="0" xfId="0" applyNumberFormat="1" applyFont="1"/>
    <xf numFmtId="172" fontId="4" fillId="0" borderId="0" xfId="0" applyNumberFormat="1" applyFont="1"/>
    <xf numFmtId="39" fontId="6" fillId="5" borderId="5" xfId="0" applyNumberFormat="1" applyFont="1" applyFill="1" applyBorder="1" applyAlignment="1">
      <alignment vertical="center"/>
    </xf>
    <xf numFmtId="0" fontId="4" fillId="0" borderId="14" xfId="0" applyFont="1" applyBorder="1"/>
    <xf numFmtId="0" fontId="4" fillId="0" borderId="15" xfId="0" applyFont="1" applyBorder="1"/>
    <xf numFmtId="0" fontId="8" fillId="0" borderId="16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10" fontId="4" fillId="0" borderId="18" xfId="0" applyNumberFormat="1" applyFont="1" applyBorder="1"/>
    <xf numFmtId="0" fontId="11" fillId="0" borderId="0" xfId="0" applyFont="1" applyAlignment="1">
      <alignment horizontal="right"/>
    </xf>
    <xf numFmtId="42" fontId="4" fillId="9" borderId="4" xfId="0" applyNumberFormat="1" applyFont="1" applyFill="1" applyBorder="1"/>
    <xf numFmtId="172" fontId="4" fillId="0" borderId="19" xfId="0" applyNumberFormat="1" applyFont="1" applyBorder="1"/>
    <xf numFmtId="0" fontId="8" fillId="0" borderId="18" xfId="0" applyFont="1" applyBorder="1"/>
    <xf numFmtId="0" fontId="8" fillId="0" borderId="0" xfId="0" applyFont="1" applyAlignment="1">
      <alignment horizontal="right"/>
    </xf>
    <xf numFmtId="42" fontId="12" fillId="0" borderId="0" xfId="0" applyNumberFormat="1" applyFont="1"/>
    <xf numFmtId="0" fontId="8" fillId="0" borderId="19" xfId="0" applyFont="1" applyBorder="1"/>
    <xf numFmtId="42" fontId="13" fillId="0" borderId="0" xfId="0" applyNumberFormat="1" applyFont="1"/>
    <xf numFmtId="0" fontId="8" fillId="0" borderId="19" xfId="0" applyFont="1" applyBorder="1" applyAlignment="1">
      <alignment horizontal="left"/>
    </xf>
    <xf numFmtId="0" fontId="4" fillId="0" borderId="20" xfId="0" applyFont="1" applyBorder="1"/>
    <xf numFmtId="0" fontId="4" fillId="0" borderId="21" xfId="0" applyFont="1" applyBorder="1"/>
    <xf numFmtId="0" fontId="8" fillId="0" borderId="22" xfId="0" applyFont="1" applyBorder="1"/>
    <xf numFmtId="0" fontId="8" fillId="0" borderId="14" xfId="0" applyFont="1" applyBorder="1"/>
    <xf numFmtId="0" fontId="4" fillId="0" borderId="18" xfId="0" applyFont="1" applyBorder="1"/>
    <xf numFmtId="173" fontId="8" fillId="0" borderId="11" xfId="0" applyNumberFormat="1" applyFont="1" applyBorder="1" applyAlignment="1">
      <alignment horizontal="center"/>
    </xf>
    <xf numFmtId="42" fontId="8" fillId="0" borderId="11" xfId="0" applyNumberFormat="1" applyFont="1" applyBorder="1" applyAlignment="1">
      <alignment horizontal="center"/>
    </xf>
    <xf numFmtId="44" fontId="8" fillId="0" borderId="26" xfId="0" applyNumberFormat="1" applyFont="1" applyBorder="1" applyAlignment="1">
      <alignment horizontal="center"/>
    </xf>
    <xf numFmtId="173" fontId="4" fillId="0" borderId="0" xfId="0" applyNumberFormat="1" applyFont="1"/>
    <xf numFmtId="42" fontId="4" fillId="0" borderId="19" xfId="0" applyNumberFormat="1" applyFont="1" applyBorder="1"/>
    <xf numFmtId="44" fontId="4" fillId="0" borderId="22" xfId="0" applyNumberFormat="1" applyFont="1" applyBorder="1"/>
    <xf numFmtId="8" fontId="6" fillId="0" borderId="0" xfId="0" applyNumberFormat="1" applyFont="1"/>
    <xf numFmtId="4" fontId="6" fillId="0" borderId="0" xfId="0" applyNumberFormat="1" applyFont="1"/>
    <xf numFmtId="43" fontId="6" fillId="3" borderId="27" xfId="0" applyNumberFormat="1" applyFont="1" applyFill="1" applyBorder="1" applyAlignment="1">
      <alignment vertical="center"/>
    </xf>
    <xf numFmtId="39" fontId="6" fillId="6" borderId="28" xfId="0" applyNumberFormat="1" applyFont="1" applyFill="1" applyBorder="1" applyAlignment="1">
      <alignment vertical="center"/>
    </xf>
    <xf numFmtId="39" fontId="6" fillId="5" borderId="29" xfId="0" applyNumberFormat="1" applyFont="1" applyFill="1" applyBorder="1" applyAlignment="1">
      <alignment vertical="center"/>
    </xf>
    <xf numFmtId="43" fontId="10" fillId="0" borderId="30" xfId="0" applyNumberFormat="1" applyFont="1" applyBorder="1" applyAlignment="1">
      <alignment vertical="center"/>
    </xf>
    <xf numFmtId="43" fontId="6" fillId="0" borderId="5" xfId="0" applyNumberFormat="1" applyFont="1" applyBorder="1" applyAlignment="1">
      <alignment vertical="center"/>
    </xf>
    <xf numFmtId="43" fontId="6" fillId="0" borderId="0" xfId="0" applyNumberFormat="1" applyFont="1" applyAlignment="1">
      <alignment vertical="center"/>
    </xf>
    <xf numFmtId="0" fontId="4" fillId="5" borderId="4" xfId="0" applyFont="1" applyFill="1" applyBorder="1" applyAlignment="1">
      <alignment horizontal="center"/>
    </xf>
    <xf numFmtId="0" fontId="6" fillId="5" borderId="31" xfId="0" applyFont="1" applyFill="1" applyBorder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174" fontId="9" fillId="0" borderId="0" xfId="0" applyNumberFormat="1" applyFont="1"/>
    <xf numFmtId="0" fontId="14" fillId="5" borderId="32" xfId="0" applyFont="1" applyFill="1" applyBorder="1" applyAlignment="1">
      <alignment vertical="center"/>
    </xf>
    <xf numFmtId="44" fontId="14" fillId="5" borderId="5" xfId="0" applyNumberFormat="1" applyFont="1" applyFill="1" applyBorder="1" applyAlignment="1">
      <alignment vertical="center"/>
    </xf>
    <xf numFmtId="0" fontId="6" fillId="5" borderId="32" xfId="0" applyFont="1" applyFill="1" applyBorder="1" applyAlignment="1">
      <alignment vertical="center"/>
    </xf>
    <xf numFmtId="44" fontId="6" fillId="3" borderId="5" xfId="0" applyNumberFormat="1" applyFont="1" applyFill="1" applyBorder="1" applyAlignment="1">
      <alignment vertical="center"/>
    </xf>
    <xf numFmtId="44" fontId="6" fillId="6" borderId="5" xfId="0" applyNumberFormat="1" applyFont="1" applyFill="1" applyBorder="1" applyAlignment="1">
      <alignment vertical="center"/>
    </xf>
    <xf numFmtId="0" fontId="14" fillId="5" borderId="5" xfId="0" applyFont="1" applyFill="1" applyBorder="1" applyAlignment="1">
      <alignment vertical="center"/>
    </xf>
    <xf numFmtId="8" fontId="6" fillId="0" borderId="5" xfId="0" applyNumberFormat="1" applyFont="1" applyBorder="1" applyAlignment="1">
      <alignment vertical="center"/>
    </xf>
    <xf numFmtId="43" fontId="6" fillId="0" borderId="0" xfId="0" applyNumberFormat="1" applyFont="1"/>
    <xf numFmtId="44" fontId="6" fillId="0" borderId="0" xfId="0" applyNumberFormat="1" applyFont="1"/>
    <xf numFmtId="39" fontId="6" fillId="0" borderId="0" xfId="0" applyNumberFormat="1" applyFont="1"/>
    <xf numFmtId="168" fontId="6" fillId="0" borderId="0" xfId="0" applyNumberFormat="1" applyFont="1"/>
    <xf numFmtId="44" fontId="14" fillId="0" borderId="0" xfId="0" applyNumberFormat="1" applyFont="1"/>
    <xf numFmtId="0" fontId="6" fillId="6" borderId="4" xfId="0" applyFont="1" applyFill="1" applyBorder="1"/>
    <xf numFmtId="0" fontId="14" fillId="0" borderId="0" xfId="0" applyFont="1" applyAlignment="1">
      <alignment horizontal="center"/>
    </xf>
    <xf numFmtId="0" fontId="14" fillId="0" borderId="11" xfId="0" applyFont="1" applyBorder="1"/>
    <xf numFmtId="0" fontId="6" fillId="0" borderId="11" xfId="0" applyFont="1" applyBorder="1"/>
    <xf numFmtId="0" fontId="14" fillId="0" borderId="11" xfId="0" applyFont="1" applyBorder="1" applyAlignment="1">
      <alignment horizontal="center"/>
    </xf>
    <xf numFmtId="8" fontId="6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14" fillId="0" borderId="0" xfId="0" applyFont="1"/>
    <xf numFmtId="10" fontId="6" fillId="0" borderId="0" xfId="0" applyNumberFormat="1" applyFont="1"/>
    <xf numFmtId="44" fontId="9" fillId="0" borderId="0" xfId="0" applyNumberFormat="1" applyFont="1"/>
    <xf numFmtId="4" fontId="2" fillId="0" borderId="0" xfId="0" applyNumberFormat="1" applyFont="1"/>
    <xf numFmtId="175" fontId="15" fillId="0" borderId="0" xfId="0" applyNumberFormat="1" applyFont="1"/>
    <xf numFmtId="44" fontId="15" fillId="0" borderId="0" xfId="0" applyNumberFormat="1" applyFont="1"/>
    <xf numFmtId="43" fontId="15" fillId="0" borderId="0" xfId="0" applyNumberFormat="1" applyFont="1"/>
    <xf numFmtId="43" fontId="9" fillId="0" borderId="0" xfId="0" applyNumberFormat="1" applyFont="1"/>
    <xf numFmtId="8" fontId="9" fillId="0" borderId="0" xfId="0" applyNumberFormat="1" applyFont="1" applyAlignment="1">
      <alignment horizontal="right"/>
    </xf>
    <xf numFmtId="0" fontId="6" fillId="5" borderId="4" xfId="0" applyFont="1" applyFill="1" applyBorder="1" applyAlignment="1">
      <alignment horizontal="center"/>
    </xf>
    <xf numFmtId="8" fontId="9" fillId="0" borderId="0" xfId="0" applyNumberFormat="1" applyFont="1" applyAlignment="1">
      <alignment horizontal="center"/>
    </xf>
    <xf numFmtId="8" fontId="15" fillId="0" borderId="0" xfId="0" applyNumberFormat="1" applyFont="1" applyAlignment="1">
      <alignment horizontal="right"/>
    </xf>
    <xf numFmtId="44" fontId="9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/>
    <xf numFmtId="2" fontId="9" fillId="0" borderId="0" xfId="0" applyNumberFormat="1" applyFont="1" applyAlignment="1">
      <alignment horizontal="center"/>
    </xf>
    <xf numFmtId="0" fontId="9" fillId="5" borderId="4" xfId="0" applyFont="1" applyFill="1" applyBorder="1" applyAlignment="1">
      <alignment horizontal="center"/>
    </xf>
    <xf numFmtId="42" fontId="4" fillId="8" borderId="4" xfId="0" applyNumberFormat="1" applyFont="1" applyFill="1" applyBorder="1"/>
    <xf numFmtId="0" fontId="4" fillId="0" borderId="19" xfId="0" applyFont="1" applyBorder="1"/>
    <xf numFmtId="165" fontId="14" fillId="0" borderId="0" xfId="0" applyNumberFormat="1" applyFont="1"/>
    <xf numFmtId="0" fontId="17" fillId="0" borderId="0" xfId="0" applyFont="1"/>
    <xf numFmtId="0" fontId="18" fillId="0" borderId="0" xfId="0" applyFont="1"/>
    <xf numFmtId="168" fontId="18" fillId="0" borderId="0" xfId="0" applyNumberFormat="1" applyFont="1"/>
    <xf numFmtId="44" fontId="19" fillId="0" borderId="0" xfId="0" applyNumberFormat="1" applyFont="1" applyAlignment="1">
      <alignment vertical="center"/>
    </xf>
    <xf numFmtId="2" fontId="18" fillId="0" borderId="0" xfId="0" applyNumberFormat="1" applyFont="1"/>
    <xf numFmtId="165" fontId="18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5" fillId="0" borderId="2" xfId="0" applyFont="1" applyBorder="1"/>
    <xf numFmtId="0" fontId="5" fillId="0" borderId="3" xfId="0" applyFont="1" applyBorder="1"/>
    <xf numFmtId="0" fontId="6" fillId="0" borderId="0" xfId="0" applyFont="1" applyAlignment="1">
      <alignment horizontal="center" vertical="center" wrapText="1"/>
    </xf>
    <xf numFmtId="0" fontId="7" fillId="4" borderId="6" xfId="0" applyFont="1" applyFill="1" applyBorder="1" applyAlignment="1">
      <alignment horizontal="center"/>
    </xf>
    <xf numFmtId="0" fontId="5" fillId="0" borderId="8" xfId="0" applyFont="1" applyBorder="1"/>
    <xf numFmtId="0" fontId="5" fillId="0" borderId="10" xfId="0" applyFont="1" applyBorder="1"/>
    <xf numFmtId="44" fontId="8" fillId="0" borderId="0" xfId="0" applyNumberFormat="1" applyFont="1" applyAlignment="1">
      <alignment horizontal="right" wrapText="1"/>
    </xf>
    <xf numFmtId="0" fontId="8" fillId="10" borderId="23" xfId="0" applyFont="1" applyFill="1" applyBorder="1" applyAlignment="1">
      <alignment horizontal="center"/>
    </xf>
    <xf numFmtId="0" fontId="5" fillId="0" borderId="24" xfId="0" applyFont="1" applyBorder="1"/>
    <xf numFmtId="0" fontId="5" fillId="0" borderId="2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NULL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NULL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NUL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eewa\Downloads\55%20-%20Percent%20Increase%20Chart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1"/>
      <sheetName val="2022"/>
      <sheetName val="202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opLeftCell="A10" workbookViewId="0">
      <selection activeCell="C24" sqref="C24"/>
    </sheetView>
  </sheetViews>
  <sheetFormatPr defaultColWidth="12.5703125" defaultRowHeight="15" customHeight="1" x14ac:dyDescent="0.2"/>
  <cols>
    <col min="1" max="1" width="13.85546875" customWidth="1"/>
    <col min="2" max="2" width="22" customWidth="1"/>
    <col min="3" max="3" width="15.5703125" customWidth="1"/>
    <col min="4" max="4" width="14.42578125" customWidth="1"/>
    <col min="5" max="5" width="14.5703125" customWidth="1"/>
    <col min="6" max="6" width="28.28515625" customWidth="1"/>
    <col min="7" max="7" width="31.42578125" customWidth="1"/>
    <col min="8" max="8" width="11.28515625" customWidth="1"/>
    <col min="9" max="26" width="8" customWidth="1"/>
  </cols>
  <sheetData>
    <row r="1" spans="1:8" ht="23.25" customHeight="1" x14ac:dyDescent="0.35">
      <c r="A1" s="1" t="s">
        <v>0</v>
      </c>
      <c r="B1" s="1"/>
      <c r="C1" s="1"/>
      <c r="D1" s="1"/>
      <c r="E1" s="1"/>
      <c r="F1" s="1"/>
      <c r="H1" s="2" t="s">
        <v>1</v>
      </c>
    </row>
    <row r="2" spans="1:8" ht="23.25" customHeight="1" x14ac:dyDescent="0.35">
      <c r="A2" s="1"/>
      <c r="B2" s="1"/>
      <c r="C2" s="1" t="s">
        <v>2</v>
      </c>
      <c r="D2" s="3" t="s">
        <v>3</v>
      </c>
      <c r="E2" s="1"/>
      <c r="F2" s="1" t="s">
        <v>4</v>
      </c>
      <c r="G2" s="4" t="s">
        <v>6</v>
      </c>
      <c r="H2" s="1" t="s">
        <v>7</v>
      </c>
    </row>
    <row r="3" spans="1:8" ht="23.25" customHeight="1" x14ac:dyDescent="0.35">
      <c r="A3" s="1">
        <v>2005</v>
      </c>
      <c r="B3" s="1" t="s">
        <v>17</v>
      </c>
      <c r="C3" s="5">
        <v>0.22195799999999999</v>
      </c>
      <c r="D3" s="8"/>
      <c r="E3" s="1" t="s">
        <v>9</v>
      </c>
      <c r="F3" s="9">
        <v>677564</v>
      </c>
      <c r="G3" s="10"/>
      <c r="H3" s="10"/>
    </row>
    <row r="4" spans="1:8" ht="23.25" customHeight="1" x14ac:dyDescent="0.35">
      <c r="A4" s="1">
        <f>A3+1</f>
        <v>2006</v>
      </c>
      <c r="B4" s="1" t="s">
        <v>17</v>
      </c>
      <c r="C4" s="5">
        <v>0.21340600000000001</v>
      </c>
      <c r="D4" s="8"/>
      <c r="E4" s="1" t="s">
        <v>9</v>
      </c>
      <c r="F4" s="9">
        <v>745612</v>
      </c>
      <c r="G4" s="10"/>
      <c r="H4" s="10"/>
    </row>
    <row r="5" spans="1:8" ht="23.25" customHeight="1" x14ac:dyDescent="0.35">
      <c r="A5" s="1">
        <f t="shared" ref="A5:A27" si="0">A4+1</f>
        <v>2007</v>
      </c>
      <c r="B5" s="1" t="s">
        <v>17</v>
      </c>
      <c r="C5" s="5">
        <v>0.145758</v>
      </c>
      <c r="D5" s="8"/>
      <c r="E5" s="1" t="s">
        <v>9</v>
      </c>
      <c r="F5" s="9">
        <v>1049278.3700000001</v>
      </c>
      <c r="G5" s="10"/>
      <c r="H5" s="10"/>
    </row>
    <row r="6" spans="1:8" ht="23.25" customHeight="1" x14ac:dyDescent="0.35">
      <c r="A6" s="1">
        <f t="shared" si="0"/>
        <v>2008</v>
      </c>
      <c r="B6" s="1" t="s">
        <v>17</v>
      </c>
      <c r="C6" s="5">
        <v>0.18689700000000001</v>
      </c>
      <c r="D6" s="8"/>
      <c r="E6" s="1" t="s">
        <v>9</v>
      </c>
      <c r="F6" s="9">
        <v>909684.43</v>
      </c>
      <c r="G6" s="10"/>
      <c r="H6" s="10"/>
    </row>
    <row r="7" spans="1:8" ht="23.25" customHeight="1" x14ac:dyDescent="0.35">
      <c r="A7" s="1">
        <f t="shared" si="0"/>
        <v>2009</v>
      </c>
      <c r="B7" s="1" t="s">
        <v>17</v>
      </c>
      <c r="C7" s="5">
        <v>0.18972700000000001</v>
      </c>
      <c r="D7" s="8"/>
      <c r="E7" s="1" t="s">
        <v>9</v>
      </c>
      <c r="F7" s="9">
        <v>976334.08</v>
      </c>
      <c r="G7" s="10"/>
      <c r="H7" s="10">
        <v>89012</v>
      </c>
    </row>
    <row r="8" spans="1:8" ht="23.25" customHeight="1" x14ac:dyDescent="0.35">
      <c r="A8" s="1">
        <f t="shared" si="0"/>
        <v>2010</v>
      </c>
      <c r="B8" s="1" t="s">
        <v>17</v>
      </c>
      <c r="C8" s="5">
        <v>0.18909799999999999</v>
      </c>
      <c r="D8" s="8">
        <v>0</v>
      </c>
      <c r="E8" s="1" t="s">
        <v>9</v>
      </c>
      <c r="F8" s="9">
        <v>979692.24</v>
      </c>
      <c r="G8" s="10">
        <v>518086515</v>
      </c>
      <c r="H8" s="10">
        <v>89308</v>
      </c>
    </row>
    <row r="9" spans="1:8" ht="23.25" customHeight="1" x14ac:dyDescent="0.35">
      <c r="A9" s="1">
        <f t="shared" si="0"/>
        <v>2011</v>
      </c>
      <c r="B9" s="1" t="s">
        <v>17</v>
      </c>
      <c r="C9" s="5">
        <v>0.188304</v>
      </c>
      <c r="D9" s="8">
        <v>0</v>
      </c>
      <c r="E9" s="1" t="s">
        <v>9</v>
      </c>
      <c r="F9" s="9">
        <v>1008771.45</v>
      </c>
      <c r="G9" s="10">
        <v>535715699</v>
      </c>
      <c r="H9" s="10">
        <v>112106</v>
      </c>
    </row>
    <row r="10" spans="1:8" ht="23.25" customHeight="1" x14ac:dyDescent="0.35">
      <c r="A10" s="1">
        <f t="shared" si="0"/>
        <v>2012</v>
      </c>
      <c r="B10" s="1" t="s">
        <v>17</v>
      </c>
      <c r="C10" s="5">
        <v>0.193966</v>
      </c>
      <c r="D10" s="8">
        <v>0.05</v>
      </c>
      <c r="E10" s="1" t="s">
        <v>9</v>
      </c>
      <c r="F10" s="9">
        <v>1036837.51</v>
      </c>
      <c r="G10" s="10">
        <v>535545155</v>
      </c>
      <c r="H10" s="10">
        <v>114275</v>
      </c>
    </row>
    <row r="11" spans="1:8" ht="23.25" customHeight="1" x14ac:dyDescent="0.35">
      <c r="A11" s="1">
        <f t="shared" si="0"/>
        <v>2013</v>
      </c>
      <c r="B11" s="1" t="s">
        <v>17</v>
      </c>
      <c r="C11" s="5">
        <v>0.193194</v>
      </c>
      <c r="D11" s="8">
        <v>0.03</v>
      </c>
      <c r="E11" s="1" t="s">
        <v>9</v>
      </c>
      <c r="F11" s="9">
        <v>1110405.3700000001</v>
      </c>
      <c r="G11" s="10"/>
      <c r="H11" s="10">
        <v>118171</v>
      </c>
    </row>
    <row r="12" spans="1:8" ht="23.25" customHeight="1" x14ac:dyDescent="0.35">
      <c r="A12" s="1">
        <f t="shared" si="0"/>
        <v>2014</v>
      </c>
      <c r="B12" s="1" t="s">
        <v>17</v>
      </c>
      <c r="C12" s="5">
        <v>0.179233</v>
      </c>
      <c r="D12" s="8"/>
      <c r="E12" s="1" t="s">
        <v>9</v>
      </c>
      <c r="F12" s="9">
        <v>1245291.1200000001</v>
      </c>
      <c r="G12" s="10"/>
      <c r="H12" s="10"/>
    </row>
    <row r="13" spans="1:8" ht="23.25" customHeight="1" x14ac:dyDescent="0.35">
      <c r="A13" s="1">
        <f t="shared" si="0"/>
        <v>2015</v>
      </c>
      <c r="B13" s="1" t="s">
        <v>17</v>
      </c>
      <c r="C13" s="20">
        <v>0.17166699999999999</v>
      </c>
      <c r="D13" s="8"/>
      <c r="E13" s="1" t="s">
        <v>9</v>
      </c>
      <c r="F13" s="22">
        <v>1271105.3700000001</v>
      </c>
      <c r="G13" s="10">
        <v>666573171</v>
      </c>
      <c r="H13" s="10"/>
    </row>
    <row r="14" spans="1:8" ht="23.25" customHeight="1" x14ac:dyDescent="0.35">
      <c r="A14" s="1">
        <f t="shared" si="0"/>
        <v>2016</v>
      </c>
      <c r="B14" s="1" t="s">
        <v>17</v>
      </c>
      <c r="C14" s="20">
        <v>0.15628300000000001</v>
      </c>
      <c r="D14" s="8">
        <v>0.04</v>
      </c>
      <c r="E14" s="1" t="s">
        <v>9</v>
      </c>
      <c r="F14" s="22">
        <v>1313145.1399999999</v>
      </c>
      <c r="G14" s="10">
        <v>840235274</v>
      </c>
      <c r="H14" s="10">
        <v>126404</v>
      </c>
    </row>
    <row r="15" spans="1:8" ht="23.25" customHeight="1" x14ac:dyDescent="0.35">
      <c r="A15" s="1">
        <f t="shared" si="0"/>
        <v>2017</v>
      </c>
      <c r="B15" s="1" t="s">
        <v>17</v>
      </c>
      <c r="C15" s="25">
        <v>0.15013099999999999</v>
      </c>
      <c r="D15" s="8">
        <v>0.03</v>
      </c>
      <c r="E15" s="1" t="s">
        <v>9</v>
      </c>
      <c r="F15" s="22">
        <v>1445807.41</v>
      </c>
      <c r="G15" s="10">
        <v>963032231</v>
      </c>
      <c r="H15" s="10">
        <v>135533</v>
      </c>
    </row>
    <row r="16" spans="1:8" ht="23.25" customHeight="1" x14ac:dyDescent="0.35">
      <c r="A16" s="1">
        <f t="shared" si="0"/>
        <v>2018</v>
      </c>
      <c r="B16" s="1" t="s">
        <v>17</v>
      </c>
      <c r="C16" s="5">
        <v>0.154637</v>
      </c>
      <c r="D16" s="28">
        <v>0.03</v>
      </c>
      <c r="E16" s="1" t="s">
        <v>9</v>
      </c>
      <c r="F16" s="9">
        <v>1583638.81</v>
      </c>
      <c r="G16" s="10"/>
      <c r="H16" s="10">
        <v>139793</v>
      </c>
    </row>
    <row r="17" spans="1:8" ht="23.25" customHeight="1" x14ac:dyDescent="0.35">
      <c r="A17" s="1">
        <f t="shared" si="0"/>
        <v>2019</v>
      </c>
      <c r="B17" s="1" t="s">
        <v>17</v>
      </c>
      <c r="C17" s="5">
        <v>0.15113099999999999</v>
      </c>
      <c r="D17" s="28">
        <v>0.04</v>
      </c>
      <c r="E17" s="1" t="s">
        <v>9</v>
      </c>
      <c r="F17" s="9">
        <v>1810891</v>
      </c>
      <c r="G17" s="31">
        <v>1198226064</v>
      </c>
      <c r="H17" s="10">
        <v>155286</v>
      </c>
    </row>
    <row r="18" spans="1:8" ht="21.6" customHeight="1" x14ac:dyDescent="0.35">
      <c r="A18" s="1">
        <f t="shared" si="0"/>
        <v>2020</v>
      </c>
      <c r="B18" s="1" t="s">
        <v>17</v>
      </c>
      <c r="E18" s="1" t="s">
        <v>9</v>
      </c>
      <c r="F18" s="32"/>
      <c r="G18" s="31">
        <v>1433389576</v>
      </c>
      <c r="H18" s="10">
        <v>165244</v>
      </c>
    </row>
    <row r="19" spans="1:8" ht="22.15" customHeight="1" x14ac:dyDescent="0.35">
      <c r="A19" s="1">
        <f t="shared" si="0"/>
        <v>2021</v>
      </c>
      <c r="B19" s="1" t="s">
        <v>17</v>
      </c>
      <c r="C19" s="172"/>
      <c r="D19" s="173"/>
      <c r="E19" s="1" t="s">
        <v>9</v>
      </c>
      <c r="F19" s="172"/>
      <c r="G19" s="172"/>
      <c r="H19" s="172"/>
    </row>
    <row r="20" spans="1:8" ht="22.15" customHeight="1" x14ac:dyDescent="0.35">
      <c r="A20" s="1">
        <f t="shared" si="0"/>
        <v>2022</v>
      </c>
      <c r="B20" s="1" t="s">
        <v>17</v>
      </c>
      <c r="C20" s="172"/>
      <c r="D20" s="173"/>
      <c r="E20" s="1" t="s">
        <v>9</v>
      </c>
      <c r="F20" s="172"/>
      <c r="G20" s="172"/>
      <c r="H20" s="172"/>
    </row>
    <row r="21" spans="1:8" ht="22.15" customHeight="1" x14ac:dyDescent="0.35">
      <c r="A21" s="1">
        <f t="shared" si="0"/>
        <v>2023</v>
      </c>
      <c r="B21" s="1" t="s">
        <v>17</v>
      </c>
      <c r="C21" s="172"/>
      <c r="D21" s="173"/>
      <c r="E21" s="1" t="s">
        <v>9</v>
      </c>
      <c r="F21" s="172"/>
      <c r="G21" s="172"/>
      <c r="H21" s="172"/>
    </row>
    <row r="22" spans="1:8" ht="22.15" customHeight="1" x14ac:dyDescent="0.35">
      <c r="A22" s="1">
        <f t="shared" si="0"/>
        <v>2024</v>
      </c>
      <c r="B22" s="1" t="s">
        <v>17</v>
      </c>
      <c r="C22" s="172"/>
      <c r="D22" s="173">
        <v>3.5000000000000003E-2</v>
      </c>
      <c r="E22" s="1" t="s">
        <v>9</v>
      </c>
      <c r="F22" s="172"/>
      <c r="G22" s="172"/>
      <c r="H22" s="172"/>
    </row>
    <row r="23" spans="1:8" ht="22.15" customHeight="1" x14ac:dyDescent="0.35">
      <c r="A23" s="1">
        <f t="shared" si="0"/>
        <v>2025</v>
      </c>
      <c r="B23" s="1" t="s">
        <v>17</v>
      </c>
      <c r="C23" s="172"/>
      <c r="D23" s="173">
        <v>3.5000000000000003E-2</v>
      </c>
      <c r="E23" s="1" t="s">
        <v>9</v>
      </c>
      <c r="F23" s="172"/>
      <c r="G23" s="172"/>
      <c r="H23" s="172"/>
    </row>
    <row r="24" spans="1:8" ht="22.15" customHeight="1" x14ac:dyDescent="0.35">
      <c r="A24" s="1">
        <f t="shared" si="0"/>
        <v>2026</v>
      </c>
      <c r="B24" s="1" t="s">
        <v>17</v>
      </c>
      <c r="C24" s="176">
        <v>0.10792990257646219</v>
      </c>
      <c r="D24" s="173">
        <v>0.03</v>
      </c>
      <c r="E24" s="1" t="s">
        <v>9</v>
      </c>
      <c r="F24" s="175">
        <v>4791690.1009488031</v>
      </c>
      <c r="G24" s="174">
        <v>4388308275</v>
      </c>
      <c r="H24" s="172"/>
    </row>
    <row r="25" spans="1:8" ht="22.15" customHeight="1" x14ac:dyDescent="0.35">
      <c r="A25" s="1">
        <f t="shared" si="0"/>
        <v>2027</v>
      </c>
      <c r="C25" s="172"/>
      <c r="D25" s="173"/>
      <c r="E25" s="1" t="s">
        <v>9</v>
      </c>
      <c r="F25" s="172"/>
      <c r="G25" s="172"/>
      <c r="H25" s="172"/>
    </row>
    <row r="26" spans="1:8" ht="22.15" customHeight="1" x14ac:dyDescent="0.35">
      <c r="A26" s="1">
        <f t="shared" si="0"/>
        <v>2028</v>
      </c>
      <c r="C26" s="172"/>
      <c r="D26" s="173"/>
      <c r="E26" s="1" t="s">
        <v>9</v>
      </c>
      <c r="F26" s="172"/>
      <c r="G26" s="172"/>
      <c r="H26" s="172"/>
    </row>
    <row r="27" spans="1:8" ht="22.15" customHeight="1" x14ac:dyDescent="0.35">
      <c r="A27" s="1">
        <f t="shared" si="0"/>
        <v>2029</v>
      </c>
      <c r="C27" s="172"/>
      <c r="D27" s="173"/>
      <c r="E27" s="1" t="s">
        <v>9</v>
      </c>
      <c r="F27" s="172"/>
      <c r="G27" s="172"/>
      <c r="H27" s="172"/>
    </row>
    <row r="28" spans="1:8" ht="12.75" customHeight="1" x14ac:dyDescent="0.2"/>
    <row r="29" spans="1:8" ht="12.75" customHeight="1" x14ac:dyDescent="0.2"/>
    <row r="30" spans="1:8" ht="12.75" customHeight="1" x14ac:dyDescent="0.2"/>
    <row r="31" spans="1:8" ht="12.75" customHeight="1" x14ac:dyDescent="0.2"/>
    <row r="32" spans="1:8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topLeftCell="A60" zoomScale="130" zoomScaleNormal="130" workbookViewId="0">
      <selection activeCell="C49" sqref="C49"/>
    </sheetView>
  </sheetViews>
  <sheetFormatPr defaultColWidth="12.5703125" defaultRowHeight="15" customHeight="1" x14ac:dyDescent="0.2"/>
  <cols>
    <col min="1" max="1" width="50.7109375" customWidth="1"/>
    <col min="2" max="2" width="17.42578125" customWidth="1"/>
    <col min="3" max="3" width="17.28515625" customWidth="1"/>
    <col min="4" max="4" width="17.85546875" customWidth="1"/>
    <col min="5" max="5" width="7.28515625" customWidth="1"/>
    <col min="6" max="6" width="17.5703125" customWidth="1"/>
    <col min="7" max="7" width="25.85546875" customWidth="1"/>
    <col min="8" max="8" width="25" customWidth="1"/>
    <col min="9" max="9" width="13.7109375" customWidth="1"/>
    <col min="10" max="10" width="20.28515625" customWidth="1"/>
    <col min="11" max="12" width="14.42578125" customWidth="1"/>
    <col min="13" max="26" width="8" customWidth="1"/>
  </cols>
  <sheetData>
    <row r="1" spans="1:26" ht="33.75" customHeight="1" x14ac:dyDescent="0.2">
      <c r="A1" s="179" t="s">
        <v>5</v>
      </c>
      <c r="B1" s="180"/>
      <c r="C1" s="180"/>
      <c r="D1" s="181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6.75" customHeight="1" x14ac:dyDescent="0.2">
      <c r="A2" s="11" t="s">
        <v>10</v>
      </c>
      <c r="B2" s="12" t="s">
        <v>221</v>
      </c>
      <c r="C2" s="13" t="s">
        <v>222</v>
      </c>
      <c r="D2" s="13" t="s">
        <v>12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18.75" customHeight="1" x14ac:dyDescent="0.2">
      <c r="A3" s="15"/>
      <c r="B3" s="16"/>
      <c r="C3" s="17"/>
      <c r="D3" s="18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6" ht="18.75" customHeight="1" x14ac:dyDescent="0.2">
      <c r="A4" s="19" t="s">
        <v>14</v>
      </c>
      <c r="B4" s="21">
        <v>1000</v>
      </c>
      <c r="C4" s="23">
        <v>429</v>
      </c>
      <c r="D4" s="21">
        <v>1000</v>
      </c>
      <c r="E4" s="14"/>
      <c r="F4" s="14" t="s">
        <v>16</v>
      </c>
      <c r="G4" s="14"/>
      <c r="H4" s="29">
        <f>'Proposed Tax Rate 2026'!E16</f>
        <v>319.49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</row>
    <row r="5" spans="1:26" ht="18.75" customHeight="1" x14ac:dyDescent="0.2">
      <c r="A5" s="19" t="s">
        <v>18</v>
      </c>
      <c r="B5" s="21">
        <v>15000</v>
      </c>
      <c r="C5" s="33">
        <v>5800</v>
      </c>
      <c r="D5" s="21">
        <v>18000</v>
      </c>
      <c r="E5" s="14"/>
      <c r="F5" s="14"/>
      <c r="G5" s="14"/>
      <c r="H5" s="29">
        <f>'Proposed Tax Rate 2026'!E21</f>
        <v>4388308275</v>
      </c>
      <c r="I5" s="14"/>
      <c r="J5" s="182" t="s">
        <v>22</v>
      </c>
      <c r="K5" s="182" t="s">
        <v>24</v>
      </c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</row>
    <row r="6" spans="1:26" ht="18.75" customHeight="1" x14ac:dyDescent="0.2">
      <c r="A6" s="37" t="s">
        <v>31</v>
      </c>
      <c r="B6" s="21">
        <v>2000</v>
      </c>
      <c r="C6" s="33">
        <v>1400</v>
      </c>
      <c r="D6" s="21">
        <v>2000</v>
      </c>
      <c r="E6" s="14"/>
      <c r="F6" s="38" t="s">
        <v>32</v>
      </c>
      <c r="G6" s="38" t="s">
        <v>33</v>
      </c>
      <c r="H6" s="39" t="s">
        <v>34</v>
      </c>
      <c r="I6" s="14"/>
      <c r="J6" s="178"/>
      <c r="K6" s="178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8.75" customHeight="1" x14ac:dyDescent="0.2">
      <c r="A7" s="37" t="s">
        <v>35</v>
      </c>
      <c r="B7" s="21">
        <v>45000</v>
      </c>
      <c r="C7" s="33">
        <v>69671</v>
      </c>
      <c r="D7" s="21">
        <v>45000</v>
      </c>
      <c r="E7" s="14"/>
      <c r="F7" s="42">
        <f>'Posted Tax Rate 2024'!B4</f>
        <v>0</v>
      </c>
      <c r="G7" s="44">
        <f>'Posted Tax Rate 2025'!D4</f>
        <v>0.10478631318103127</v>
      </c>
      <c r="H7" s="29">
        <f>'Proposed Tax Rate 2026'!F4</f>
        <v>4652126.3116007792</v>
      </c>
      <c r="I7" s="29">
        <f>'Proposed Tax Rate 2026'!C4</f>
        <v>319.49</v>
      </c>
      <c r="J7" s="46">
        <v>0</v>
      </c>
      <c r="K7" s="29">
        <f>'Posted Tax Rates 2023'!J4</f>
        <v>0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8.75" customHeight="1" x14ac:dyDescent="0.2">
      <c r="A8" s="37" t="s">
        <v>47</v>
      </c>
      <c r="B8" s="21">
        <v>20000</v>
      </c>
      <c r="C8" s="33">
        <v>32818.5</v>
      </c>
      <c r="D8" s="21">
        <v>20000</v>
      </c>
      <c r="E8" s="14"/>
      <c r="F8" s="42">
        <f>'Posted Tax Rate 2024'!B5</f>
        <v>0.01</v>
      </c>
      <c r="G8" s="44">
        <f>'Posted Tax Rate 2025'!D5</f>
        <v>0.10583417631284159</v>
      </c>
      <c r="H8" s="29">
        <f>'Proposed Tax Rate 2026'!F5</f>
        <v>4698647.5747167878</v>
      </c>
      <c r="I8" s="29">
        <f>'Proposed Tax Rate 2026'!C5</f>
        <v>322.68490000000003</v>
      </c>
      <c r="J8" s="46">
        <f t="shared" ref="J8:J16" si="0">H8-$H$7</f>
        <v>46521.263116008602</v>
      </c>
      <c r="K8" s="29">
        <f t="shared" ref="K8:K16" si="1">I8-$I$7</f>
        <v>3.1949000000000183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8.75" customHeight="1" x14ac:dyDescent="0.2">
      <c r="A9" s="37" t="s">
        <v>224</v>
      </c>
      <c r="B9" s="21">
        <v>10000</v>
      </c>
      <c r="C9" s="33">
        <v>4212.01</v>
      </c>
      <c r="D9" s="21">
        <v>10000</v>
      </c>
      <c r="E9" s="14"/>
      <c r="F9" s="42">
        <f>'Posted Tax Rate 2024'!B6</f>
        <v>0.02</v>
      </c>
      <c r="G9" s="44">
        <f>'Posted Tax Rate 2025'!D6</f>
        <v>0.1068820394446519</v>
      </c>
      <c r="H9" s="29">
        <f>'Proposed Tax Rate 2026'!F6</f>
        <v>4745168.8378327945</v>
      </c>
      <c r="I9" s="29">
        <f>'Proposed Tax Rate 2026'!C6</f>
        <v>325.87979999999999</v>
      </c>
      <c r="J9" s="46">
        <f t="shared" si="0"/>
        <v>93042.526232015342</v>
      </c>
      <c r="K9" s="29">
        <f t="shared" si="1"/>
        <v>6.3897999999999797</v>
      </c>
      <c r="L9" s="51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8.75" customHeight="1" x14ac:dyDescent="0.2">
      <c r="A10" s="37" t="s">
        <v>66</v>
      </c>
      <c r="B10" s="21">
        <v>150000</v>
      </c>
      <c r="C10" s="33">
        <v>271000</v>
      </c>
      <c r="D10" s="21">
        <v>100000</v>
      </c>
      <c r="E10" s="14"/>
      <c r="F10" s="42">
        <f>'Posted Tax Rate 2024'!B7</f>
        <v>0.03</v>
      </c>
      <c r="G10" s="44">
        <f>'Posted Tax Rate 2025'!D7</f>
        <v>0.10792990257646219</v>
      </c>
      <c r="H10" s="29">
        <f>'Proposed Tax Rate 2026'!F7</f>
        <v>4791690.1009488031</v>
      </c>
      <c r="I10" s="29">
        <f>'Proposed Tax Rate 2026'!C7</f>
        <v>329.07470000000001</v>
      </c>
      <c r="J10" s="46">
        <f t="shared" si="0"/>
        <v>139563.78934802394</v>
      </c>
      <c r="K10" s="29">
        <f t="shared" si="1"/>
        <v>9.584699999999998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8.75" customHeight="1" x14ac:dyDescent="0.2">
      <c r="A11" s="37" t="s">
        <v>67</v>
      </c>
      <c r="B11" s="21">
        <v>55000</v>
      </c>
      <c r="C11" s="33">
        <v>56625</v>
      </c>
      <c r="D11" s="21">
        <v>0</v>
      </c>
      <c r="E11" s="14"/>
      <c r="F11" s="42">
        <f>'Posted Tax Rate 2024'!B8</f>
        <v>3.5000000000000003E-2</v>
      </c>
      <c r="G11" s="44">
        <f>'Posted Tax Rate 2025'!D8</f>
        <v>0.10845383414236735</v>
      </c>
      <c r="H11" s="29">
        <f>'Proposed Tax Rate 2026'!F8</f>
        <v>4814950.732506806</v>
      </c>
      <c r="I11" s="29">
        <f>'Proposed Tax Rate 2026'!C8</f>
        <v>330.67214999999999</v>
      </c>
      <c r="J11" s="46">
        <f t="shared" si="0"/>
        <v>162824.42090602685</v>
      </c>
      <c r="K11" s="29">
        <f t="shared" si="1"/>
        <v>11.182149999999979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8.75" customHeight="1" x14ac:dyDescent="0.2">
      <c r="A12" s="37" t="s">
        <v>74</v>
      </c>
      <c r="B12" s="21">
        <v>20000</v>
      </c>
      <c r="C12" s="33">
        <v>0</v>
      </c>
      <c r="D12" s="21">
        <v>500000</v>
      </c>
      <c r="E12" s="14"/>
      <c r="F12" s="54">
        <f>'Posted Tax Rate 2024'!B9</f>
        <v>0.04</v>
      </c>
      <c r="G12" s="57">
        <f>'Posted Tax Rate 2025'!D9</f>
        <v>0.10897776570827251</v>
      </c>
      <c r="H12" s="58">
        <f>'Proposed Tax Rate 2026'!F9</f>
        <v>4838211.3640648108</v>
      </c>
      <c r="I12" s="58">
        <f>'Proposed Tax Rate 2026'!C9</f>
        <v>332.26960000000003</v>
      </c>
      <c r="J12" s="59">
        <f t="shared" si="0"/>
        <v>186085.05246403161</v>
      </c>
      <c r="K12" s="58">
        <f t="shared" si="1"/>
        <v>12.779600000000016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8.75" customHeight="1" x14ac:dyDescent="0.2">
      <c r="A13" s="37" t="s">
        <v>77</v>
      </c>
      <c r="B13" s="21">
        <v>35000</v>
      </c>
      <c r="C13" s="33">
        <v>27658.400000000001</v>
      </c>
      <c r="D13" s="21">
        <v>30000</v>
      </c>
      <c r="E13" s="14"/>
      <c r="F13" s="54">
        <f>'Posted Tax Rate 2024'!B10</f>
        <v>0.05</v>
      </c>
      <c r="G13" s="57">
        <f>'Posted Tax Rate 2025'!D10</f>
        <v>0.11002562884008284</v>
      </c>
      <c r="H13" s="58">
        <f>'Proposed Tax Rate 2026'!F10</f>
        <v>4884732.6271808185</v>
      </c>
      <c r="I13" s="58">
        <f>'Proposed Tax Rate 2026'!C10</f>
        <v>335.46450000000004</v>
      </c>
      <c r="J13" s="59">
        <f t="shared" si="0"/>
        <v>232606.31558003929</v>
      </c>
      <c r="K13" s="58">
        <f t="shared" si="1"/>
        <v>15.974500000000035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8.75" customHeight="1" x14ac:dyDescent="0.2">
      <c r="A14" s="37" t="s">
        <v>223</v>
      </c>
      <c r="B14" s="21">
        <v>100000</v>
      </c>
      <c r="C14" s="33">
        <v>0</v>
      </c>
      <c r="D14" s="21">
        <v>100000</v>
      </c>
      <c r="E14" s="14"/>
      <c r="F14" s="54">
        <f>'Posted Tax Rate 2024'!B11</f>
        <v>0.06</v>
      </c>
      <c r="G14" s="57">
        <f>'Posted Tax Rate 2025'!D11</f>
        <v>0.11107349197189313</v>
      </c>
      <c r="H14" s="58">
        <f>'Proposed Tax Rate 2026'!F11</f>
        <v>4931253.8902968261</v>
      </c>
      <c r="I14" s="58">
        <f>'Proposed Tax Rate 2026'!C11</f>
        <v>338.65940000000001</v>
      </c>
      <c r="J14" s="59">
        <f t="shared" si="0"/>
        <v>279127.57869604696</v>
      </c>
      <c r="K14" s="58">
        <f t="shared" si="1"/>
        <v>19.169399999999996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8.75" customHeight="1" x14ac:dyDescent="0.2">
      <c r="A15" s="37" t="s">
        <v>79</v>
      </c>
      <c r="B15" s="21">
        <v>1500</v>
      </c>
      <c r="C15" s="33">
        <v>0</v>
      </c>
      <c r="D15" s="21">
        <v>1500</v>
      </c>
      <c r="E15" s="14"/>
      <c r="F15" s="54">
        <f>'Posted Tax Rate 2024'!B12</f>
        <v>7.0000000000000007E-2</v>
      </c>
      <c r="G15" s="57">
        <f>'Posted Tax Rate 2025'!D12</f>
        <v>0.11212135510370345</v>
      </c>
      <c r="H15" s="58">
        <f>'Proposed Tax Rate 2026'!F12</f>
        <v>4977775.1534128347</v>
      </c>
      <c r="I15" s="58">
        <f>'Proposed Tax Rate 2026'!C12</f>
        <v>341.85430000000002</v>
      </c>
      <c r="J15" s="59">
        <f t="shared" si="0"/>
        <v>325648.84181205556</v>
      </c>
      <c r="K15" s="58">
        <f t="shared" si="1"/>
        <v>22.364300000000014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8.75" customHeight="1" x14ac:dyDescent="0.2">
      <c r="A16" s="37" t="s">
        <v>80</v>
      </c>
      <c r="B16" s="21">
        <v>47429.73</v>
      </c>
      <c r="C16" s="33">
        <v>43200</v>
      </c>
      <c r="D16" s="67">
        <f>Wges!J37</f>
        <v>43200</v>
      </c>
      <c r="E16" s="14"/>
      <c r="F16" s="68">
        <f>'Posted Tax Rate 2024'!B13</f>
        <v>0.08</v>
      </c>
      <c r="G16" s="69">
        <f>'Posted Tax Rate 2025'!D13</f>
        <v>0.11316921823551376</v>
      </c>
      <c r="H16" s="72">
        <f>'Posted Tax Rate 2025'!F13</f>
        <v>4534697.5934519516</v>
      </c>
      <c r="I16" s="72">
        <f>'Posted Tax Rate 2025'!C13</f>
        <v>333.3852</v>
      </c>
      <c r="J16" s="75">
        <f t="shared" si="0"/>
        <v>-117428.71814882755</v>
      </c>
      <c r="K16" s="72">
        <f t="shared" si="1"/>
        <v>13.895199999999988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8.75" customHeight="1" x14ac:dyDescent="0.2">
      <c r="A17" s="37" t="s">
        <v>83</v>
      </c>
      <c r="B17" s="21">
        <v>4000</v>
      </c>
      <c r="C17" s="33">
        <v>2474</v>
      </c>
      <c r="D17" s="21">
        <v>6500</v>
      </c>
      <c r="E17" s="14"/>
      <c r="F17" s="77"/>
      <c r="G17" s="44"/>
      <c r="H17" s="29"/>
      <c r="I17" s="29"/>
      <c r="J17" s="29"/>
      <c r="K17" s="29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8.75" customHeight="1" x14ac:dyDescent="0.2">
      <c r="A18" s="79" t="s">
        <v>85</v>
      </c>
      <c r="B18" s="21">
        <v>4000</v>
      </c>
      <c r="C18" s="33">
        <v>0</v>
      </c>
      <c r="D18" s="21">
        <v>0</v>
      </c>
      <c r="E18" s="14"/>
      <c r="F18" s="77" t="s">
        <v>86</v>
      </c>
      <c r="G18" s="44"/>
      <c r="H18" s="29">
        <f>'Proposed Tax Rate 2026'!E17</f>
        <v>301372</v>
      </c>
      <c r="I18" s="14"/>
      <c r="J18" s="29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8.75" customHeight="1" x14ac:dyDescent="0.2">
      <c r="A19" s="82" t="s">
        <v>88</v>
      </c>
      <c r="B19" s="21">
        <v>50400</v>
      </c>
      <c r="C19" s="33">
        <v>34800</v>
      </c>
      <c r="D19" s="87">
        <f>Wges!U29</f>
        <v>40800</v>
      </c>
      <c r="E19" s="14"/>
      <c r="F19" s="14" t="s">
        <v>93</v>
      </c>
      <c r="G19" s="44"/>
      <c r="H19" s="29">
        <f>'Proposed Tax Rate 2026'!E16</f>
        <v>319.49</v>
      </c>
      <c r="I19" s="14"/>
      <c r="J19" s="29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8.75" customHeight="1" x14ac:dyDescent="0.2">
      <c r="A20" s="37" t="s">
        <v>96</v>
      </c>
      <c r="B20" s="92">
        <v>289672.2</v>
      </c>
      <c r="C20" s="33">
        <v>272839.82</v>
      </c>
      <c r="D20" s="87">
        <f>Wges!$O$37</f>
        <v>301976.15999999992</v>
      </c>
      <c r="E20" s="14"/>
      <c r="F20" s="77"/>
      <c r="G20" s="44"/>
      <c r="H20" s="29"/>
      <c r="I20" s="14"/>
      <c r="J20" s="29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8.75" customHeight="1" x14ac:dyDescent="0.2">
      <c r="A21" s="37" t="s">
        <v>101</v>
      </c>
      <c r="B21" s="21">
        <v>14000</v>
      </c>
      <c r="C21" s="33">
        <v>0</v>
      </c>
      <c r="D21" s="21">
        <v>14000</v>
      </c>
      <c r="E21" s="14"/>
      <c r="F21" s="77"/>
      <c r="G21" s="44"/>
      <c r="H21" s="29"/>
      <c r="I21" s="14"/>
      <c r="J21" s="29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8.75" customHeight="1" x14ac:dyDescent="0.2">
      <c r="A22" s="37" t="s">
        <v>103</v>
      </c>
      <c r="B22" s="21">
        <v>400000</v>
      </c>
      <c r="C22" s="33">
        <v>535518.36</v>
      </c>
      <c r="D22" s="21">
        <v>600000</v>
      </c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8.75" customHeight="1" x14ac:dyDescent="0.2">
      <c r="A23" s="37" t="s">
        <v>106</v>
      </c>
      <c r="B23" s="21">
        <v>180000</v>
      </c>
      <c r="C23" s="33">
        <v>175113.8</v>
      </c>
      <c r="D23" s="21">
        <v>100000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8.75" customHeight="1" x14ac:dyDescent="0.2">
      <c r="A24" s="37" t="s">
        <v>108</v>
      </c>
      <c r="B24" s="21"/>
      <c r="C24" s="33"/>
      <c r="D24" s="21">
        <v>360000</v>
      </c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8.75" customHeight="1" x14ac:dyDescent="0.2">
      <c r="A25" s="37" t="s">
        <v>110</v>
      </c>
      <c r="B25" s="21">
        <v>150000</v>
      </c>
      <c r="C25" s="33">
        <v>78517.820000000007</v>
      </c>
      <c r="D25" s="21">
        <v>150000</v>
      </c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8.75" customHeight="1" x14ac:dyDescent="0.2">
      <c r="A26" s="37" t="s">
        <v>112</v>
      </c>
      <c r="B26" s="21">
        <v>5000</v>
      </c>
      <c r="C26" s="33">
        <v>6764.83</v>
      </c>
      <c r="D26" s="21">
        <v>5000</v>
      </c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8.75" customHeight="1" x14ac:dyDescent="0.2">
      <c r="A27" s="37" t="s">
        <v>117</v>
      </c>
      <c r="B27" s="21">
        <v>250000</v>
      </c>
      <c r="C27" s="33">
        <v>117047.23</v>
      </c>
      <c r="D27" s="21">
        <v>200000</v>
      </c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8.75" customHeight="1" x14ac:dyDescent="0.2">
      <c r="A28" s="37" t="s">
        <v>118</v>
      </c>
      <c r="B28" s="21">
        <v>100000</v>
      </c>
      <c r="C28" s="33">
        <v>159811.78</v>
      </c>
      <c r="D28" s="21">
        <v>100000</v>
      </c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</row>
    <row r="29" spans="1:26" ht="18.75" customHeight="1" x14ac:dyDescent="0.2">
      <c r="A29" s="37" t="s">
        <v>120</v>
      </c>
      <c r="B29" s="21">
        <v>75000</v>
      </c>
      <c r="C29" s="33">
        <v>105195.4</v>
      </c>
      <c r="D29" s="21">
        <v>75000</v>
      </c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8.75" customHeight="1" x14ac:dyDescent="0.2">
      <c r="A30" s="19" t="s">
        <v>121</v>
      </c>
      <c r="B30" s="21">
        <v>450000</v>
      </c>
      <c r="C30" s="33">
        <v>288553</v>
      </c>
      <c r="D30" s="21">
        <v>50000</v>
      </c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8.75" customHeight="1" x14ac:dyDescent="0.2">
      <c r="A31" s="19" t="s">
        <v>124</v>
      </c>
      <c r="B31" s="21">
        <v>18000</v>
      </c>
      <c r="C31" s="33">
        <v>11780</v>
      </c>
      <c r="D31" s="21">
        <v>18000</v>
      </c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</row>
    <row r="32" spans="1:26" ht="18.75" customHeight="1" x14ac:dyDescent="0.2">
      <c r="A32" s="37" t="s">
        <v>126</v>
      </c>
      <c r="B32" s="21">
        <v>13000</v>
      </c>
      <c r="C32" s="33">
        <v>8778.08</v>
      </c>
      <c r="D32" s="21">
        <v>13000</v>
      </c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</row>
    <row r="33" spans="1:26" ht="18.75" customHeight="1" x14ac:dyDescent="0.2">
      <c r="A33" s="37" t="s">
        <v>127</v>
      </c>
      <c r="B33" s="21">
        <v>30000</v>
      </c>
      <c r="C33" s="33">
        <v>25148.58</v>
      </c>
      <c r="D33" s="21">
        <v>40000</v>
      </c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</row>
    <row r="34" spans="1:26" ht="18.75" customHeight="1" x14ac:dyDescent="0.2">
      <c r="A34" s="37" t="s">
        <v>128</v>
      </c>
      <c r="B34" s="21">
        <v>70000</v>
      </c>
      <c r="C34" s="33">
        <v>61505.599999999999</v>
      </c>
      <c r="D34" s="21">
        <v>70000</v>
      </c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</row>
    <row r="35" spans="1:26" ht="18.75" customHeight="1" x14ac:dyDescent="0.2">
      <c r="A35" s="37" t="s">
        <v>131</v>
      </c>
      <c r="B35" s="92">
        <v>105221.32</v>
      </c>
      <c r="C35" s="33">
        <v>0</v>
      </c>
      <c r="D35" s="87">
        <f>Wges!$T$29</f>
        <v>108207.35279999999</v>
      </c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</row>
    <row r="36" spans="1:26" ht="18.75" customHeight="1" x14ac:dyDescent="0.2">
      <c r="A36" s="37" t="s">
        <v>132</v>
      </c>
      <c r="B36" s="92">
        <v>123001.26</v>
      </c>
      <c r="C36" s="33">
        <v>104871.94</v>
      </c>
      <c r="D36" s="87">
        <f>Wges!P29</f>
        <v>35226.879999999997</v>
      </c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</row>
    <row r="37" spans="1:26" ht="18.75" customHeight="1" x14ac:dyDescent="0.2">
      <c r="A37" s="37" t="s">
        <v>133</v>
      </c>
      <c r="B37" s="92"/>
      <c r="C37" s="33"/>
      <c r="D37" s="87">
        <f>Wges!Q29</f>
        <v>98635.26400000001</v>
      </c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</row>
    <row r="38" spans="1:26" ht="18.75" customHeight="1" x14ac:dyDescent="0.2">
      <c r="A38" s="37" t="s">
        <v>135</v>
      </c>
      <c r="B38" s="120">
        <v>10000</v>
      </c>
      <c r="C38" s="121">
        <v>931.46</v>
      </c>
      <c r="D38" s="120">
        <v>10000</v>
      </c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</row>
    <row r="39" spans="1:26" ht="18.75" customHeight="1" x14ac:dyDescent="0.2">
      <c r="A39" s="37" t="s">
        <v>136</v>
      </c>
      <c r="B39" s="21">
        <v>12000</v>
      </c>
      <c r="C39" s="33">
        <v>4484.1899999999996</v>
      </c>
      <c r="D39" s="21">
        <v>12000</v>
      </c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</row>
    <row r="40" spans="1:26" ht="18.75" customHeight="1" x14ac:dyDescent="0.2">
      <c r="A40" s="19" t="s">
        <v>137</v>
      </c>
      <c r="B40" s="122">
        <v>1369724.48</v>
      </c>
      <c r="C40" s="33">
        <v>1264198.73</v>
      </c>
      <c r="D40" s="123">
        <f>Wges!$J$29</f>
        <v>1409075.2</v>
      </c>
      <c r="E40" s="14"/>
      <c r="F40" s="14"/>
      <c r="G40" s="14"/>
      <c r="H40" s="182" t="s">
        <v>140</v>
      </c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</row>
    <row r="41" spans="1:26" ht="18.75" customHeight="1" x14ac:dyDescent="0.2">
      <c r="A41" s="19" t="s">
        <v>141</v>
      </c>
      <c r="B41" s="124">
        <v>3500</v>
      </c>
      <c r="C41" s="33">
        <v>12026.89</v>
      </c>
      <c r="D41" s="124">
        <v>15000</v>
      </c>
      <c r="E41" s="14"/>
      <c r="F41" s="125"/>
      <c r="G41" s="42"/>
      <c r="H41" s="178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</row>
    <row r="42" spans="1:26" ht="18.75" customHeight="1" x14ac:dyDescent="0.2">
      <c r="A42" s="37" t="s">
        <v>142</v>
      </c>
      <c r="B42" s="21">
        <v>20000</v>
      </c>
      <c r="C42" s="33">
        <v>84857.279999999999</v>
      </c>
      <c r="D42" s="21">
        <v>20000</v>
      </c>
      <c r="E42" s="14"/>
      <c r="F42" s="14"/>
      <c r="G42" s="14"/>
      <c r="H42" s="178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</row>
    <row r="43" spans="1:26" ht="18.75" customHeight="1" x14ac:dyDescent="0.2">
      <c r="A43" s="37" t="s">
        <v>144</v>
      </c>
      <c r="B43" s="21">
        <v>6000</v>
      </c>
      <c r="C43" s="33">
        <v>4795.84</v>
      </c>
      <c r="D43" s="21">
        <v>6000</v>
      </c>
      <c r="E43" s="14"/>
      <c r="F43" s="14"/>
      <c r="G43" s="14"/>
      <c r="H43" s="178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</row>
    <row r="44" spans="1:26" ht="18.75" customHeight="1" x14ac:dyDescent="0.2">
      <c r="A44" s="127" t="s">
        <v>146</v>
      </c>
      <c r="B44" s="21">
        <v>8000</v>
      </c>
      <c r="C44" s="33">
        <v>3353.45</v>
      </c>
      <c r="D44" s="21">
        <v>8000</v>
      </c>
      <c r="E44" s="14"/>
      <c r="F44" s="14"/>
      <c r="G44" s="14"/>
      <c r="H44" s="128"/>
      <c r="I44" s="14"/>
      <c r="J44" s="14"/>
      <c r="K44" s="14"/>
      <c r="L44" s="51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</row>
    <row r="45" spans="1:26" ht="18.75" customHeight="1" x14ac:dyDescent="0.2">
      <c r="A45" s="127" t="s">
        <v>148</v>
      </c>
      <c r="B45" s="21">
        <v>65000</v>
      </c>
      <c r="C45" s="33">
        <v>116295</v>
      </c>
      <c r="D45" s="21">
        <v>180000</v>
      </c>
      <c r="E45" s="14"/>
      <c r="F45" s="14"/>
      <c r="G45" s="14"/>
      <c r="H45" s="129"/>
      <c r="I45" s="14"/>
      <c r="J45" s="14"/>
      <c r="K45" s="14"/>
      <c r="L45" s="51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</row>
    <row r="46" spans="1:26" ht="18.75" customHeight="1" x14ac:dyDescent="0.2">
      <c r="A46" s="127" t="s">
        <v>149</v>
      </c>
      <c r="B46" s="21">
        <v>15000</v>
      </c>
      <c r="C46" s="33">
        <v>18863.34</v>
      </c>
      <c r="D46" s="21">
        <v>15000</v>
      </c>
      <c r="E46" s="14"/>
      <c r="F46" s="14"/>
      <c r="G46" s="14"/>
      <c r="H46" s="14"/>
      <c r="I46" s="14"/>
      <c r="J46" s="14"/>
      <c r="K46" s="14"/>
      <c r="L46" s="51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</row>
    <row r="47" spans="1:26" ht="18.75" customHeight="1" x14ac:dyDescent="0.2">
      <c r="A47" s="19" t="s">
        <v>150</v>
      </c>
      <c r="B47" s="21">
        <v>15000</v>
      </c>
      <c r="C47" s="33">
        <v>18565.34</v>
      </c>
      <c r="D47" s="21">
        <v>15000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</row>
    <row r="48" spans="1:26" ht="18.75" customHeight="1" x14ac:dyDescent="0.2">
      <c r="A48" s="19" t="s">
        <v>152</v>
      </c>
      <c r="B48" s="21">
        <v>8000</v>
      </c>
      <c r="C48" s="33">
        <v>6200</v>
      </c>
      <c r="D48" s="21">
        <v>10000</v>
      </c>
      <c r="E48" s="125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</row>
    <row r="49" spans="1:26" ht="18.75" customHeight="1" x14ac:dyDescent="0.2">
      <c r="A49" s="131" t="s">
        <v>153</v>
      </c>
      <c r="B49" s="132">
        <f t="shared" ref="B49:D49" si="2">SUM(B4:B48)</f>
        <v>4365448.9899999993</v>
      </c>
      <c r="C49" s="132">
        <f t="shared" si="2"/>
        <v>4036105.67</v>
      </c>
      <c r="D49" s="132">
        <f t="shared" si="2"/>
        <v>4957120.8568000002</v>
      </c>
      <c r="E49" s="125"/>
      <c r="F49" s="14" t="s">
        <v>154</v>
      </c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</row>
    <row r="50" spans="1:26" ht="18.75" customHeight="1" x14ac:dyDescent="0.2">
      <c r="A50" s="133" t="s">
        <v>155</v>
      </c>
      <c r="B50" s="132">
        <v>180000</v>
      </c>
      <c r="C50" s="132">
        <v>0</v>
      </c>
      <c r="D50" s="134">
        <v>700000</v>
      </c>
      <c r="E50" s="125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</row>
    <row r="51" spans="1:26" ht="18.75" customHeight="1" x14ac:dyDescent="0.2">
      <c r="A51" s="131" t="s">
        <v>157</v>
      </c>
      <c r="B51" s="132"/>
      <c r="C51" s="132"/>
      <c r="D51" s="134"/>
      <c r="E51" s="125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</row>
    <row r="52" spans="1:26" ht="18.75" customHeight="1" x14ac:dyDescent="0.2">
      <c r="A52" s="133" t="s">
        <v>158</v>
      </c>
      <c r="B52" s="134"/>
      <c r="C52" s="135">
        <v>-38505</v>
      </c>
      <c r="D52" s="134">
        <v>-10000</v>
      </c>
      <c r="E52" s="125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</row>
    <row r="53" spans="1:26" ht="18.75" customHeight="1" x14ac:dyDescent="0.2">
      <c r="A53" s="133" t="s">
        <v>159</v>
      </c>
      <c r="B53" s="134">
        <v>-35000</v>
      </c>
      <c r="C53" s="135">
        <v>-34000</v>
      </c>
      <c r="D53" s="134">
        <v>-60000</v>
      </c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</row>
    <row r="54" spans="1:26" ht="18.75" customHeight="1" x14ac:dyDescent="0.2">
      <c r="A54" s="133" t="s">
        <v>162</v>
      </c>
      <c r="B54" s="134">
        <v>-20000</v>
      </c>
      <c r="C54" s="135">
        <v>-68935</v>
      </c>
      <c r="D54" s="13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</row>
    <row r="55" spans="1:26" ht="18.75" customHeight="1" x14ac:dyDescent="0.2">
      <c r="A55" s="133" t="s">
        <v>163</v>
      </c>
      <c r="B55" s="134"/>
      <c r="C55" s="135"/>
      <c r="D55" s="134">
        <v>-5000</v>
      </c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</row>
    <row r="56" spans="1:26" ht="18.75" customHeight="1" x14ac:dyDescent="0.2">
      <c r="A56" s="133" t="s">
        <v>164</v>
      </c>
      <c r="B56" s="134">
        <v>-5000</v>
      </c>
      <c r="C56" s="135">
        <v>-1000</v>
      </c>
      <c r="D56" s="134">
        <v>-5000</v>
      </c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</row>
    <row r="57" spans="1:26" ht="18.75" customHeight="1" x14ac:dyDescent="0.2">
      <c r="A57" s="19" t="s">
        <v>165</v>
      </c>
      <c r="B57" s="134">
        <v>-600000</v>
      </c>
      <c r="C57" s="135">
        <v>-547689.43000000005</v>
      </c>
      <c r="D57" s="134">
        <v>-800000</v>
      </c>
      <c r="E57" s="14"/>
      <c r="F57" s="6"/>
      <c r="G57" s="6"/>
      <c r="H57" s="6"/>
      <c r="I57" s="6"/>
      <c r="J57" s="6"/>
      <c r="K57" s="6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</row>
    <row r="58" spans="1:26" ht="15.75" customHeight="1" x14ac:dyDescent="0.2">
      <c r="A58" s="136" t="s">
        <v>166</v>
      </c>
      <c r="B58" s="132">
        <f t="shared" ref="B58:C58" si="3">B49+B52+B53+B54+B57</f>
        <v>3710448.9899999993</v>
      </c>
      <c r="C58" s="132">
        <f t="shared" si="3"/>
        <v>3346976.2399999998</v>
      </c>
      <c r="D58" s="132">
        <f>D49+D52+D53+D54+D57+D56+D50+D55</f>
        <v>4777120.8568000002</v>
      </c>
      <c r="E58" s="6"/>
      <c r="F58" s="6" t="s">
        <v>167</v>
      </c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2">
      <c r="A59" s="18" t="s">
        <v>168</v>
      </c>
      <c r="B59" s="18"/>
      <c r="C59" s="137">
        <v>-3340057.88</v>
      </c>
      <c r="D59" s="21"/>
      <c r="E59" s="138"/>
      <c r="F59" s="139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2">
      <c r="A60" s="6"/>
      <c r="B60" s="6"/>
      <c r="C60" s="140"/>
      <c r="D60" s="6"/>
      <c r="E60" s="6"/>
      <c r="F60" s="139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25">
      <c r="A61" s="141" t="s">
        <v>170</v>
      </c>
      <c r="B61" s="139"/>
      <c r="C61" s="6"/>
      <c r="D61" s="142">
        <f>VLOOKUP(H61,(F7:H11),3)</f>
        <v>4791690.1009488031</v>
      </c>
      <c r="E61" s="6"/>
      <c r="F61" s="6" t="s">
        <v>171</v>
      </c>
      <c r="G61" s="6"/>
      <c r="H61" s="143">
        <v>0.03</v>
      </c>
      <c r="I61" s="6" t="s">
        <v>172</v>
      </c>
      <c r="J61" s="170">
        <f>VLOOKUP(H61,(F7:H11),2)</f>
        <v>0.10792990257646219</v>
      </c>
      <c r="K61" s="171" t="s">
        <v>49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2">
      <c r="A62" s="6" t="s">
        <v>173</v>
      </c>
      <c r="B62" s="6"/>
      <c r="C62" s="6"/>
      <c r="D62" s="139">
        <f>D61-D58</f>
        <v>14569.244148802944</v>
      </c>
      <c r="E62" s="6"/>
      <c r="F62" s="138"/>
      <c r="G62" s="6"/>
      <c r="H62" s="138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25">
      <c r="A66" s="6"/>
      <c r="B66" s="6"/>
      <c r="C66" s="144" t="s">
        <v>174</v>
      </c>
      <c r="D66" s="144" t="s">
        <v>175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25">
      <c r="A67" s="145" t="s">
        <v>177</v>
      </c>
      <c r="B67" s="146"/>
      <c r="C67" s="147" t="s">
        <v>178</v>
      </c>
      <c r="D67" s="147" t="s">
        <v>179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2">
      <c r="A68" s="6" t="s">
        <v>180</v>
      </c>
      <c r="B68" s="6"/>
      <c r="C68" s="148">
        <v>1022.84</v>
      </c>
      <c r="D68" s="6">
        <v>19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2">
      <c r="A69" s="6" t="s">
        <v>181</v>
      </c>
      <c r="B69" s="6" t="s">
        <v>182</v>
      </c>
      <c r="C69" s="148">
        <v>542.16</v>
      </c>
      <c r="D69" s="6">
        <v>8</v>
      </c>
      <c r="E69" s="6"/>
      <c r="F69" s="6">
        <v>1330.1</v>
      </c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2">
      <c r="A70" s="6" t="s">
        <v>184</v>
      </c>
      <c r="B70" s="6"/>
      <c r="C70" s="149">
        <v>4</v>
      </c>
      <c r="D70" s="6">
        <v>19</v>
      </c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2">
      <c r="A71" s="6" t="s">
        <v>186</v>
      </c>
      <c r="B71" s="6"/>
      <c r="C71" s="149">
        <v>17.8</v>
      </c>
      <c r="D71" s="6">
        <v>19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2">
      <c r="A72" s="6"/>
      <c r="B72" s="6"/>
      <c r="C72" s="150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25">
      <c r="A73" s="151" t="s">
        <v>187</v>
      </c>
      <c r="B73" s="6">
        <v>0</v>
      </c>
      <c r="C73" s="150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25">
      <c r="A75" s="145" t="s">
        <v>191</v>
      </c>
      <c r="B75" s="145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2">
      <c r="A76" s="6" t="s">
        <v>192</v>
      </c>
      <c r="B76" s="152">
        <v>2.5000000000000001E-2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2">
      <c r="A77" s="6" t="s">
        <v>193</v>
      </c>
      <c r="B77" s="152">
        <v>7.0000000000000007E-2</v>
      </c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25">
      <c r="A79" s="145" t="s">
        <v>195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2">
      <c r="A80" s="6" t="s">
        <v>197</v>
      </c>
      <c r="B80" s="152">
        <v>6.2E-2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2">
      <c r="A81" s="6" t="s">
        <v>198</v>
      </c>
      <c r="B81" s="152">
        <v>6.2E-2</v>
      </c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25">
      <c r="A83" s="145" t="s">
        <v>199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2">
      <c r="A84" s="6" t="s">
        <v>197</v>
      </c>
      <c r="B84" s="152">
        <v>1.4500000000000001E-2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2">
      <c r="A85" s="6" t="s">
        <v>198</v>
      </c>
      <c r="B85" s="152">
        <v>1.4500000000000001E-2</v>
      </c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25">
      <c r="A87" s="145" t="s">
        <v>200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2">
      <c r="A88" s="6" t="s">
        <v>197</v>
      </c>
      <c r="B88" s="152">
        <v>2.7000000000000001E-3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2">
      <c r="A89" s="6" t="s">
        <v>198</v>
      </c>
      <c r="B89" s="152">
        <v>0</v>
      </c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4">
    <mergeCell ref="A1:D1"/>
    <mergeCell ref="J5:J6"/>
    <mergeCell ref="K5:K6"/>
    <mergeCell ref="H40:H43"/>
  </mergeCells>
  <pageMargins left="0.7" right="0.7" top="0.75" bottom="0.75" header="0" footer="0"/>
  <pageSetup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Z244"/>
  <sheetViews>
    <sheetView topLeftCell="A4" zoomScale="175" zoomScaleNormal="175" workbookViewId="0">
      <selection activeCell="G25" sqref="G25"/>
    </sheetView>
  </sheetViews>
  <sheetFormatPr defaultColWidth="12.5703125" defaultRowHeight="15" customHeight="1" x14ac:dyDescent="0.2"/>
  <cols>
    <col min="1" max="1" width="19.7109375" customWidth="1"/>
    <col min="2" max="3" width="8.5703125" customWidth="1"/>
    <col min="4" max="4" width="7" customWidth="1"/>
    <col min="5" max="6" width="9.28515625" customWidth="1"/>
    <col min="7" max="7" width="6.5703125" customWidth="1"/>
    <col min="8" max="8" width="8.7109375" customWidth="1"/>
    <col min="9" max="9" width="5.5703125" customWidth="1"/>
    <col min="10" max="10" width="12.28515625" customWidth="1"/>
    <col min="11" max="11" width="8.28515625" customWidth="1"/>
    <col min="12" max="12" width="6.85546875" customWidth="1"/>
    <col min="13" max="13" width="10.28515625" customWidth="1"/>
    <col min="14" max="14" width="10.5703125" customWidth="1"/>
    <col min="15" max="16" width="11.7109375" customWidth="1"/>
    <col min="17" max="17" width="11.140625" customWidth="1"/>
    <col min="18" max="19" width="9.7109375" customWidth="1"/>
    <col min="20" max="20" width="11" customWidth="1"/>
    <col min="21" max="21" width="10.7109375" customWidth="1"/>
    <col min="22" max="130" width="8" customWidth="1"/>
  </cols>
  <sheetData>
    <row r="1" spans="1:130" ht="12.75" customHeight="1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7" t="s">
        <v>8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130" ht="12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7" t="s">
        <v>13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130" ht="1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7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6"/>
      <c r="AK3" s="6"/>
      <c r="AL3" s="6"/>
      <c r="AM3" s="6"/>
      <c r="AN3" s="6"/>
    </row>
    <row r="4" spans="1:130" ht="15" customHeight="1" x14ac:dyDescent="0.2">
      <c r="A4" s="4" t="s">
        <v>15</v>
      </c>
      <c r="B4" s="4"/>
      <c r="C4" s="4"/>
      <c r="D4" s="4"/>
      <c r="E4" s="4"/>
      <c r="F4" s="4">
        <v>1</v>
      </c>
      <c r="G4" s="4"/>
      <c r="H4" s="4"/>
      <c r="I4" s="4"/>
      <c r="J4" s="26"/>
      <c r="K4" s="30">
        <f>Budget!C71</f>
        <v>17.8</v>
      </c>
      <c r="L4" s="30">
        <f>Budget!C70</f>
        <v>4</v>
      </c>
      <c r="M4" s="7"/>
      <c r="N4" s="4"/>
      <c r="O4" s="4"/>
      <c r="P4" s="7" t="s">
        <v>19</v>
      </c>
      <c r="Q4" s="177" t="s">
        <v>20</v>
      </c>
      <c r="R4" s="178"/>
      <c r="S4" s="178"/>
      <c r="T4" s="178"/>
      <c r="U4" s="178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6"/>
      <c r="AK4" s="6"/>
      <c r="AL4" s="6"/>
      <c r="AM4" s="6"/>
      <c r="AN4" s="6"/>
      <c r="CX4" s="2" t="s">
        <v>26</v>
      </c>
      <c r="DC4" s="2">
        <v>1</v>
      </c>
      <c r="DG4" s="26"/>
      <c r="DJ4" s="7"/>
    </row>
    <row r="5" spans="1:130" ht="15" customHeight="1" x14ac:dyDescent="0.2">
      <c r="A5" s="36" t="s">
        <v>29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0">
        <f>Budget!B76</f>
        <v>2.5000000000000001E-2</v>
      </c>
      <c r="Q5" s="40">
        <f>Budget!B77</f>
        <v>7.0000000000000007E-2</v>
      </c>
      <c r="R5" s="41">
        <f>Budget!B80</f>
        <v>6.2E-2</v>
      </c>
      <c r="S5" s="41">
        <f>Budget!B84</f>
        <v>1.4500000000000001E-2</v>
      </c>
      <c r="T5" s="41">
        <f>Budget!B88</f>
        <v>2.7000000000000001E-3</v>
      </c>
      <c r="U5" s="7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6"/>
      <c r="AK5" s="6"/>
      <c r="AL5" s="6"/>
      <c r="AM5" s="6"/>
      <c r="AN5" s="6"/>
      <c r="CX5" s="36" t="s">
        <v>36</v>
      </c>
    </row>
    <row r="6" spans="1:130" ht="15" customHeight="1" x14ac:dyDescent="0.2">
      <c r="A6" s="7"/>
      <c r="B6" s="7"/>
      <c r="C6" s="7" t="s">
        <v>37</v>
      </c>
      <c r="D6" s="7" t="s">
        <v>38</v>
      </c>
      <c r="E6" s="7" t="s">
        <v>27</v>
      </c>
      <c r="F6" s="7" t="s">
        <v>39</v>
      </c>
      <c r="G6" s="7" t="s">
        <v>40</v>
      </c>
      <c r="H6" s="7" t="s">
        <v>37</v>
      </c>
      <c r="I6" s="7" t="s">
        <v>41</v>
      </c>
      <c r="J6" s="7" t="s">
        <v>42</v>
      </c>
      <c r="K6" s="7"/>
      <c r="L6" s="7" t="s">
        <v>43</v>
      </c>
      <c r="M6" s="7"/>
      <c r="N6" s="7"/>
      <c r="O6" s="7" t="s">
        <v>44</v>
      </c>
      <c r="P6" s="7" t="s">
        <v>45</v>
      </c>
      <c r="Q6" s="7" t="s">
        <v>45</v>
      </c>
      <c r="R6" s="7"/>
      <c r="S6" s="7" t="s">
        <v>46</v>
      </c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47"/>
      <c r="AK6" s="47"/>
      <c r="AL6" s="47"/>
      <c r="AM6" s="47"/>
      <c r="AN6" s="4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 t="s">
        <v>37</v>
      </c>
      <c r="DA6" s="7" t="s">
        <v>38</v>
      </c>
      <c r="DB6" s="7" t="s">
        <v>27</v>
      </c>
      <c r="DC6" s="7" t="s">
        <v>39</v>
      </c>
      <c r="DD6" s="7" t="s">
        <v>40</v>
      </c>
      <c r="DE6" s="7" t="s">
        <v>37</v>
      </c>
      <c r="DF6" s="7" t="s">
        <v>41</v>
      </c>
      <c r="DG6" s="7" t="s">
        <v>42</v>
      </c>
      <c r="DH6" s="7"/>
      <c r="DI6" s="7" t="s">
        <v>43</v>
      </c>
      <c r="DJ6" s="7"/>
      <c r="DK6" s="7"/>
      <c r="DL6" s="7" t="s">
        <v>44</v>
      </c>
      <c r="DM6" s="7" t="s">
        <v>45</v>
      </c>
      <c r="DN6" s="7"/>
      <c r="DO6" s="7" t="s">
        <v>46</v>
      </c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</row>
    <row r="7" spans="1:130" ht="15" customHeight="1" x14ac:dyDescent="0.2">
      <c r="A7" s="47"/>
      <c r="B7" s="47"/>
      <c r="C7" s="7" t="s">
        <v>49</v>
      </c>
      <c r="D7" s="7" t="s">
        <v>50</v>
      </c>
      <c r="E7" s="7" t="s">
        <v>51</v>
      </c>
      <c r="F7" s="7" t="s">
        <v>52</v>
      </c>
      <c r="G7" s="7" t="s">
        <v>53</v>
      </c>
      <c r="H7" s="7" t="s">
        <v>49</v>
      </c>
      <c r="I7" s="7" t="s">
        <v>54</v>
      </c>
      <c r="J7" s="7" t="s">
        <v>55</v>
      </c>
      <c r="K7" s="7" t="s">
        <v>57</v>
      </c>
      <c r="L7" s="7" t="s">
        <v>58</v>
      </c>
      <c r="M7" s="7" t="s">
        <v>59</v>
      </c>
      <c r="N7" s="7" t="s">
        <v>60</v>
      </c>
      <c r="O7" s="7" t="s">
        <v>61</v>
      </c>
      <c r="P7" s="52" t="s">
        <v>61</v>
      </c>
      <c r="Q7" s="52" t="s">
        <v>61</v>
      </c>
      <c r="R7" s="7" t="s">
        <v>62</v>
      </c>
      <c r="S7" s="7" t="s">
        <v>63</v>
      </c>
      <c r="T7" s="7" t="s">
        <v>64</v>
      </c>
      <c r="U7" s="7" t="s">
        <v>65</v>
      </c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47"/>
      <c r="AK7" s="47"/>
      <c r="AL7" s="47"/>
      <c r="AM7" s="47"/>
      <c r="AN7" s="4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 t="s">
        <v>49</v>
      </c>
      <c r="DA7" s="7" t="s">
        <v>50</v>
      </c>
      <c r="DB7" s="7" t="s">
        <v>51</v>
      </c>
      <c r="DC7" s="7" t="s">
        <v>68</v>
      </c>
      <c r="DD7" s="7" t="s">
        <v>53</v>
      </c>
      <c r="DE7" s="7" t="s">
        <v>49</v>
      </c>
      <c r="DF7" s="7" t="s">
        <v>54</v>
      </c>
      <c r="DG7" s="7" t="s">
        <v>55</v>
      </c>
      <c r="DH7" s="7" t="s">
        <v>57</v>
      </c>
      <c r="DI7" s="7" t="s">
        <v>58</v>
      </c>
      <c r="DJ7" s="7" t="s">
        <v>59</v>
      </c>
      <c r="DK7" s="7" t="s">
        <v>69</v>
      </c>
      <c r="DL7" s="7" t="s">
        <v>61</v>
      </c>
      <c r="DM7" s="52" t="e">
        <f t="shared" ref="DM7:DM8" si="0">#REF!</f>
        <v>#REF!</v>
      </c>
      <c r="DN7" s="7" t="s">
        <v>62</v>
      </c>
      <c r="DO7" s="7" t="s">
        <v>63</v>
      </c>
      <c r="DP7" s="7" t="s">
        <v>64</v>
      </c>
      <c r="DQ7" s="7"/>
      <c r="DR7" s="7"/>
      <c r="DS7" s="7"/>
      <c r="DT7" s="7"/>
      <c r="DU7" s="7"/>
      <c r="DV7" s="7"/>
      <c r="DW7" s="7"/>
      <c r="DX7" s="7"/>
      <c r="DY7" s="7"/>
      <c r="DZ7" s="7"/>
    </row>
    <row r="8" spans="1:130" ht="15" customHeight="1" x14ac:dyDescent="0.2">
      <c r="A8" s="47"/>
      <c r="B8" s="47"/>
      <c r="C8" s="7" t="s">
        <v>70</v>
      </c>
      <c r="D8" s="7" t="s">
        <v>71</v>
      </c>
      <c r="E8" s="7" t="s">
        <v>72</v>
      </c>
      <c r="F8" s="7" t="s">
        <v>73</v>
      </c>
      <c r="G8" s="7" t="s">
        <v>75</v>
      </c>
      <c r="H8" s="7" t="s">
        <v>70</v>
      </c>
      <c r="I8" s="7" t="s">
        <v>76</v>
      </c>
      <c r="J8" s="7"/>
      <c r="K8" s="7"/>
      <c r="L8" s="7"/>
      <c r="M8" s="7"/>
      <c r="N8" s="7" t="s">
        <v>59</v>
      </c>
      <c r="O8" s="7"/>
      <c r="P8" s="55">
        <f t="shared" ref="P8:T8" si="1">P5</f>
        <v>2.5000000000000001E-2</v>
      </c>
      <c r="Q8" s="56">
        <f t="shared" si="1"/>
        <v>7.0000000000000007E-2</v>
      </c>
      <c r="R8" s="56">
        <f t="shared" si="1"/>
        <v>6.2E-2</v>
      </c>
      <c r="S8" s="56">
        <f t="shared" si="1"/>
        <v>1.4500000000000001E-2</v>
      </c>
      <c r="T8" s="56">
        <f t="shared" si="1"/>
        <v>2.7000000000000001E-3</v>
      </c>
      <c r="U8" s="4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47"/>
      <c r="AK8" s="47"/>
      <c r="AL8" s="47"/>
      <c r="AM8" s="47"/>
      <c r="AN8" s="4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 t="s">
        <v>70</v>
      </c>
      <c r="DA8" s="7" t="s">
        <v>71</v>
      </c>
      <c r="DB8" s="7" t="s">
        <v>72</v>
      </c>
      <c r="DC8" s="7" t="s">
        <v>73</v>
      </c>
      <c r="DD8" s="7" t="s">
        <v>75</v>
      </c>
      <c r="DE8" s="7" t="s">
        <v>70</v>
      </c>
      <c r="DF8" s="7" t="s">
        <v>76</v>
      </c>
      <c r="DG8" s="7"/>
      <c r="DH8" s="7"/>
      <c r="DI8" s="7"/>
      <c r="DJ8" s="7"/>
      <c r="DK8" s="7" t="s">
        <v>59</v>
      </c>
      <c r="DL8" s="7"/>
      <c r="DM8" s="52" t="e">
        <f t="shared" si="0"/>
        <v>#REF!</v>
      </c>
      <c r="DN8" s="7">
        <v>6.2E-2</v>
      </c>
      <c r="DO8" s="7">
        <v>1.4500000000000001E-2</v>
      </c>
      <c r="DP8" s="7">
        <v>4.929E-2</v>
      </c>
      <c r="DQ8" s="7"/>
      <c r="DR8" s="7"/>
      <c r="DS8" s="7"/>
      <c r="DT8" s="7"/>
      <c r="DU8" s="7"/>
      <c r="DV8" s="7"/>
      <c r="DW8" s="7"/>
      <c r="DX8" s="7"/>
      <c r="DY8" s="7"/>
      <c r="DZ8" s="7"/>
    </row>
    <row r="9" spans="1:130" ht="15" customHeight="1" x14ac:dyDescent="0.2">
      <c r="A9" s="60"/>
      <c r="B9" s="60"/>
      <c r="C9" s="60" t="s">
        <v>78</v>
      </c>
      <c r="D9" s="60"/>
      <c r="E9" s="60" t="s">
        <v>78</v>
      </c>
      <c r="F9" s="60">
        <v>2025</v>
      </c>
      <c r="G9" s="60" t="s">
        <v>52</v>
      </c>
      <c r="H9" s="60" t="s">
        <v>78</v>
      </c>
      <c r="I9" s="60"/>
      <c r="J9" s="60" t="s">
        <v>78</v>
      </c>
      <c r="K9" s="60"/>
      <c r="L9" s="60"/>
      <c r="M9" s="61">
        <f>Budget!C68</f>
        <v>1022.84</v>
      </c>
      <c r="N9" s="61">
        <f>Budget!C69</f>
        <v>542.16</v>
      </c>
      <c r="O9" s="60"/>
      <c r="P9" s="60"/>
      <c r="Q9" s="60"/>
      <c r="R9" s="60"/>
      <c r="S9" s="60"/>
      <c r="T9" s="60"/>
      <c r="U9" s="63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47"/>
      <c r="AK9" s="47"/>
      <c r="AL9" s="47"/>
      <c r="AM9" s="47"/>
      <c r="AN9" s="4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>
        <v>2009</v>
      </c>
      <c r="DA9" s="7"/>
      <c r="DB9" s="7">
        <v>2011</v>
      </c>
      <c r="DC9" s="7">
        <v>2010</v>
      </c>
      <c r="DD9" s="7" t="s">
        <v>81</v>
      </c>
      <c r="DE9" s="7">
        <v>2010</v>
      </c>
      <c r="DF9" s="7"/>
      <c r="DG9" s="7">
        <v>2010</v>
      </c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</row>
    <row r="10" spans="1:130" ht="15" customHeight="1" x14ac:dyDescent="0.2">
      <c r="A10" s="70" t="s">
        <v>82</v>
      </c>
      <c r="B10" s="71">
        <v>41869</v>
      </c>
      <c r="C10" s="73">
        <v>73</v>
      </c>
      <c r="D10" s="73">
        <v>2.5</v>
      </c>
      <c r="E10" s="73">
        <f t="shared" ref="E10:E24" si="2">(C10+D10)*$E$28</f>
        <v>75.5</v>
      </c>
      <c r="F10" s="63">
        <v>0</v>
      </c>
      <c r="G10" s="74"/>
      <c r="H10" s="73">
        <f>E10+F10</f>
        <v>75.5</v>
      </c>
      <c r="I10" s="70">
        <v>2080</v>
      </c>
      <c r="J10" s="63">
        <f t="shared" ref="J10:J26" si="3">(E10*(((12-G10)/12))*I10)+(H10*(G10/12)*I10)</f>
        <v>157040</v>
      </c>
      <c r="K10" s="76">
        <f t="shared" ref="K10:K24" si="4">$K$4</f>
        <v>17.8</v>
      </c>
      <c r="L10" s="76">
        <f t="shared" ref="L10:L24" si="5">$L$4</f>
        <v>4</v>
      </c>
      <c r="M10" s="78">
        <f t="shared" ref="M10:M24" si="6">$M$9</f>
        <v>1022.84</v>
      </c>
      <c r="N10" s="78">
        <f>$N$9</f>
        <v>542.16</v>
      </c>
      <c r="O10" s="63">
        <f t="shared" ref="O10:O23" si="7">SUM(K10:N10)*12</f>
        <v>19041.600000000002</v>
      </c>
      <c r="P10" s="63">
        <f t="shared" ref="P10:P23" si="8">J10*$P$8</f>
        <v>3926</v>
      </c>
      <c r="Q10" s="63">
        <f t="shared" ref="Q10:Q23" si="9">($Q$8)*J10</f>
        <v>10992.800000000001</v>
      </c>
      <c r="R10" s="63">
        <f t="shared" ref="R10:R23" si="10">$R$8*J10</f>
        <v>9736.48</v>
      </c>
      <c r="S10" s="63">
        <f t="shared" ref="S10:S23" si="11">$S$8*J10</f>
        <v>2277.08</v>
      </c>
      <c r="T10" s="63">
        <f t="shared" ref="T10:T24" si="12">$T$8*9000</f>
        <v>24.3</v>
      </c>
      <c r="U10" s="70">
        <f t="shared" ref="U10:U24" si="13">200*12</f>
        <v>2400</v>
      </c>
      <c r="V10" s="63"/>
      <c r="W10" s="70"/>
      <c r="X10" s="60"/>
      <c r="Y10" s="60"/>
      <c r="Z10" s="70"/>
      <c r="AA10" s="7"/>
      <c r="AB10" s="7"/>
      <c r="AC10" s="7"/>
      <c r="AD10" s="7"/>
      <c r="AE10" s="7"/>
      <c r="AF10" s="7"/>
      <c r="AG10" s="7"/>
      <c r="AH10" s="4"/>
      <c r="AI10" s="4"/>
      <c r="AJ10" s="6"/>
      <c r="AK10" s="6"/>
      <c r="AL10" s="6"/>
      <c r="AM10" s="6"/>
      <c r="AN10" s="6"/>
      <c r="CX10" s="2" t="s">
        <v>91</v>
      </c>
      <c r="CY10" s="85">
        <v>37655</v>
      </c>
      <c r="CZ10" s="86"/>
      <c r="DA10" s="2">
        <v>0</v>
      </c>
      <c r="DB10" s="86"/>
      <c r="DC10" s="26">
        <v>0</v>
      </c>
      <c r="DD10" s="88"/>
      <c r="DE10" s="86"/>
      <c r="DG10" s="26"/>
      <c r="DJ10" s="90"/>
      <c r="DK10" s="90"/>
      <c r="DL10" s="26"/>
      <c r="DM10" s="26"/>
      <c r="DN10" s="26"/>
      <c r="DO10" s="26"/>
      <c r="DP10" s="26"/>
    </row>
    <row r="11" spans="1:130" ht="15" customHeight="1" x14ac:dyDescent="0.2">
      <c r="A11" s="70" t="s">
        <v>95</v>
      </c>
      <c r="B11" s="71">
        <v>44356</v>
      </c>
      <c r="C11" s="73">
        <v>39.21</v>
      </c>
      <c r="D11" s="73">
        <v>1.44</v>
      </c>
      <c r="E11" s="73">
        <f t="shared" si="2"/>
        <v>40.65</v>
      </c>
      <c r="F11" s="63">
        <v>0</v>
      </c>
      <c r="G11" s="74"/>
      <c r="H11" s="73">
        <f t="shared" ref="H11:H26" si="14">E11+F11</f>
        <v>40.65</v>
      </c>
      <c r="I11" s="70">
        <v>2080</v>
      </c>
      <c r="J11" s="63">
        <f t="shared" si="3"/>
        <v>84552</v>
      </c>
      <c r="K11" s="76">
        <f t="shared" si="4"/>
        <v>17.8</v>
      </c>
      <c r="L11" s="76">
        <f t="shared" si="5"/>
        <v>4</v>
      </c>
      <c r="M11" s="78">
        <f t="shared" si="6"/>
        <v>1022.84</v>
      </c>
      <c r="N11" s="78">
        <f>$N$90</f>
        <v>0</v>
      </c>
      <c r="O11" s="63">
        <f t="shared" si="7"/>
        <v>12535.68</v>
      </c>
      <c r="P11" s="63">
        <f t="shared" si="8"/>
        <v>2113.8000000000002</v>
      </c>
      <c r="Q11" s="63">
        <f t="shared" si="9"/>
        <v>5918.64</v>
      </c>
      <c r="R11" s="63">
        <f t="shared" si="10"/>
        <v>5242.2240000000002</v>
      </c>
      <c r="S11" s="63">
        <f t="shared" si="11"/>
        <v>1226.0040000000001</v>
      </c>
      <c r="T11" s="63">
        <f t="shared" si="12"/>
        <v>24.3</v>
      </c>
      <c r="U11" s="70">
        <f t="shared" si="13"/>
        <v>2400</v>
      </c>
      <c r="V11" s="70"/>
      <c r="W11" s="70"/>
      <c r="X11" s="70"/>
      <c r="Y11" s="70"/>
      <c r="Z11" s="70"/>
      <c r="AA11" s="4"/>
      <c r="AB11" s="4"/>
      <c r="AC11" s="4"/>
      <c r="AD11" s="4"/>
      <c r="AE11" s="4"/>
      <c r="AF11" s="4"/>
      <c r="AG11" s="4"/>
      <c r="AH11" s="4"/>
      <c r="AI11" s="4"/>
      <c r="AJ11" s="6"/>
      <c r="AK11" s="6"/>
      <c r="AL11" s="6"/>
      <c r="AM11" s="6"/>
      <c r="AN11" s="6"/>
      <c r="CX11" s="2" t="s">
        <v>102</v>
      </c>
      <c r="CY11" s="85">
        <v>37165</v>
      </c>
      <c r="CZ11" s="86">
        <v>29.150000000000002</v>
      </c>
      <c r="DA11" s="2">
        <v>0</v>
      </c>
      <c r="DB11" s="86">
        <f>(CZ11+DA11)*(1+$C$57/100)</f>
        <v>29.150000000000002</v>
      </c>
      <c r="DC11" s="26">
        <v>0</v>
      </c>
      <c r="DD11" s="88">
        <v>6</v>
      </c>
      <c r="DE11" s="86">
        <f t="shared" ref="DE11:DE13" si="15">DB11+DC11</f>
        <v>29.150000000000002</v>
      </c>
      <c r="DF11" s="2">
        <v>2080</v>
      </c>
      <c r="DG11" s="26">
        <f t="shared" ref="DG11:DG13" si="16">(DB11*(((12-DD11)/12))*DF11)+(DE11*(DD11/12)*DF11)</f>
        <v>60632.000000000007</v>
      </c>
      <c r="DH11" s="2">
        <v>22</v>
      </c>
      <c r="DI11" s="2">
        <v>4</v>
      </c>
      <c r="DJ11" s="90">
        <f>DJ10</f>
        <v>0</v>
      </c>
      <c r="DK11" s="90">
        <v>0</v>
      </c>
      <c r="DL11" s="26">
        <f t="shared" ref="DL11:DL13" si="17">SUM(DH11:DK11)*12</f>
        <v>312</v>
      </c>
      <c r="DM11" s="26">
        <f>($Q$43/100)*DG11</f>
        <v>0</v>
      </c>
      <c r="DN11" s="26">
        <f>$R$44*DG11</f>
        <v>0</v>
      </c>
      <c r="DO11" s="26">
        <f>$S$44*DG11</f>
        <v>0</v>
      </c>
      <c r="DP11" s="26">
        <f t="shared" ref="DP11:DP13" si="18">$T$44*9000</f>
        <v>532.80000000000007</v>
      </c>
      <c r="DQ11" s="26"/>
      <c r="DT11" s="90"/>
      <c r="DU11" s="90"/>
      <c r="DV11" s="26"/>
      <c r="DW11" s="26"/>
      <c r="DX11" s="26"/>
      <c r="DY11" s="26"/>
      <c r="DZ11" s="26"/>
    </row>
    <row r="12" spans="1:130" ht="15" customHeight="1" x14ac:dyDescent="0.2">
      <c r="A12" s="70" t="s">
        <v>109</v>
      </c>
      <c r="B12" s="71">
        <v>42877</v>
      </c>
      <c r="C12" s="73">
        <v>43.95</v>
      </c>
      <c r="D12" s="73">
        <v>3.05</v>
      </c>
      <c r="E12" s="73">
        <f t="shared" si="2"/>
        <v>47</v>
      </c>
      <c r="F12" s="63">
        <v>0</v>
      </c>
      <c r="G12" s="74"/>
      <c r="H12" s="73">
        <f t="shared" si="14"/>
        <v>47</v>
      </c>
      <c r="I12" s="70">
        <v>2080</v>
      </c>
      <c r="J12" s="63">
        <f t="shared" si="3"/>
        <v>97760</v>
      </c>
      <c r="K12" s="76">
        <f t="shared" si="4"/>
        <v>17.8</v>
      </c>
      <c r="L12" s="76">
        <f t="shared" si="5"/>
        <v>4</v>
      </c>
      <c r="M12" s="78">
        <f t="shared" si="6"/>
        <v>1022.84</v>
      </c>
      <c r="N12" s="78">
        <f>$N$9</f>
        <v>542.16</v>
      </c>
      <c r="O12" s="63">
        <f t="shared" si="7"/>
        <v>19041.600000000002</v>
      </c>
      <c r="P12" s="63">
        <f t="shared" si="8"/>
        <v>2444</v>
      </c>
      <c r="Q12" s="63">
        <f t="shared" si="9"/>
        <v>6843.2000000000007</v>
      </c>
      <c r="R12" s="63">
        <f t="shared" si="10"/>
        <v>6061.12</v>
      </c>
      <c r="S12" s="63">
        <f t="shared" si="11"/>
        <v>1417.52</v>
      </c>
      <c r="T12" s="63">
        <f t="shared" si="12"/>
        <v>24.3</v>
      </c>
      <c r="U12" s="70">
        <f t="shared" si="13"/>
        <v>2400</v>
      </c>
      <c r="V12" s="70"/>
      <c r="W12" s="70"/>
      <c r="X12" s="70"/>
      <c r="Y12" s="70"/>
      <c r="Z12" s="70"/>
      <c r="AA12" s="4"/>
      <c r="AB12" s="7"/>
      <c r="AC12" s="7"/>
      <c r="AD12" s="7"/>
      <c r="AE12" s="7"/>
      <c r="AF12" s="7"/>
      <c r="AG12" s="7"/>
      <c r="AH12" s="7"/>
      <c r="AI12" s="7"/>
      <c r="AJ12" s="47"/>
      <c r="AK12" s="47"/>
      <c r="AL12" s="47"/>
      <c r="AM12" s="47"/>
      <c r="AN12" s="47"/>
      <c r="AO12" s="7"/>
      <c r="AP12" s="7"/>
      <c r="CX12" s="4" t="s">
        <v>113</v>
      </c>
      <c r="CY12" s="85">
        <v>39643</v>
      </c>
      <c r="CZ12" s="86">
        <v>21.55</v>
      </c>
      <c r="DA12" s="2">
        <v>0</v>
      </c>
      <c r="DB12" s="86">
        <f>(CZ12+DA12)*(1+$C$57/100)</f>
        <v>21.55</v>
      </c>
      <c r="DC12" s="26">
        <v>0</v>
      </c>
      <c r="DD12" s="88">
        <v>6</v>
      </c>
      <c r="DE12" s="86">
        <f t="shared" si="15"/>
        <v>21.55</v>
      </c>
      <c r="DF12" s="2">
        <v>2080</v>
      </c>
      <c r="DG12" s="26">
        <f t="shared" si="16"/>
        <v>44824</v>
      </c>
      <c r="DH12" s="2">
        <v>22</v>
      </c>
      <c r="DI12" s="2">
        <v>4</v>
      </c>
      <c r="DJ12" s="90" t="e">
        <f t="shared" ref="DJ12:DJ13" si="19">#REF!</f>
        <v>#REF!</v>
      </c>
      <c r="DK12" s="90">
        <v>0</v>
      </c>
      <c r="DL12" s="26" t="e">
        <f t="shared" si="17"/>
        <v>#REF!</v>
      </c>
      <c r="DM12" s="26">
        <f>($Q$43/100)*DG12</f>
        <v>0</v>
      </c>
      <c r="DN12" s="26">
        <f>$R$44*DG12</f>
        <v>0</v>
      </c>
      <c r="DO12" s="26">
        <f>$S$44*DG12</f>
        <v>0</v>
      </c>
      <c r="DP12" s="26">
        <f t="shared" si="18"/>
        <v>532.80000000000007</v>
      </c>
    </row>
    <row r="13" spans="1:130" ht="15" customHeight="1" x14ac:dyDescent="0.2">
      <c r="A13" s="70" t="s">
        <v>119</v>
      </c>
      <c r="B13" s="71">
        <v>43313</v>
      </c>
      <c r="C13" s="73">
        <v>38.159999999999997</v>
      </c>
      <c r="D13" s="73">
        <v>1.84</v>
      </c>
      <c r="E13" s="73">
        <f t="shared" si="2"/>
        <v>40</v>
      </c>
      <c r="F13" s="63">
        <v>0</v>
      </c>
      <c r="G13" s="74"/>
      <c r="H13" s="73">
        <f t="shared" si="14"/>
        <v>40</v>
      </c>
      <c r="I13" s="70">
        <v>2080</v>
      </c>
      <c r="J13" s="63">
        <f t="shared" si="3"/>
        <v>83200</v>
      </c>
      <c r="K13" s="76">
        <f t="shared" si="4"/>
        <v>17.8</v>
      </c>
      <c r="L13" s="76">
        <f t="shared" si="5"/>
        <v>4</v>
      </c>
      <c r="M13" s="78">
        <f t="shared" si="6"/>
        <v>1022.84</v>
      </c>
      <c r="N13" s="78">
        <v>0</v>
      </c>
      <c r="O13" s="63">
        <f t="shared" si="7"/>
        <v>12535.68</v>
      </c>
      <c r="P13" s="63">
        <f t="shared" si="8"/>
        <v>2080</v>
      </c>
      <c r="Q13" s="63">
        <f t="shared" si="9"/>
        <v>5824.0000000000009</v>
      </c>
      <c r="R13" s="63">
        <f t="shared" si="10"/>
        <v>5158.3999999999996</v>
      </c>
      <c r="S13" s="63">
        <f t="shared" si="11"/>
        <v>1206.4000000000001</v>
      </c>
      <c r="T13" s="63">
        <f t="shared" si="12"/>
        <v>24.3</v>
      </c>
      <c r="U13" s="70">
        <f t="shared" si="13"/>
        <v>2400</v>
      </c>
      <c r="V13" s="70"/>
      <c r="W13" s="70"/>
      <c r="X13" s="60"/>
      <c r="Y13" s="60"/>
      <c r="Z13" s="70"/>
      <c r="AA13" s="7"/>
      <c r="AB13" s="4"/>
      <c r="AC13" s="4"/>
      <c r="AD13" s="4"/>
      <c r="AE13" s="4"/>
      <c r="AF13" s="4"/>
      <c r="AG13" s="4"/>
      <c r="AH13" s="4"/>
      <c r="AI13" s="4"/>
      <c r="AJ13" s="47"/>
      <c r="AK13" s="6"/>
      <c r="AL13" s="6"/>
      <c r="AM13" s="6"/>
      <c r="AN13" s="6"/>
      <c r="AQ13" s="7"/>
      <c r="CX13" s="4" t="s">
        <v>122</v>
      </c>
      <c r="CY13" s="85">
        <v>40714</v>
      </c>
      <c r="CZ13" s="86">
        <v>23</v>
      </c>
      <c r="DA13" s="2">
        <v>0</v>
      </c>
      <c r="DB13" s="86">
        <f>(CZ13+DA13)*(1+$C$57/100)</f>
        <v>23</v>
      </c>
      <c r="DC13" s="26">
        <v>0</v>
      </c>
      <c r="DD13" s="88">
        <v>6</v>
      </c>
      <c r="DE13" s="86">
        <f t="shared" si="15"/>
        <v>23</v>
      </c>
      <c r="DF13" s="2">
        <v>2080</v>
      </c>
      <c r="DG13" s="26">
        <f t="shared" si="16"/>
        <v>47840</v>
      </c>
      <c r="DH13" s="2">
        <v>22</v>
      </c>
      <c r="DI13" s="2">
        <v>4</v>
      </c>
      <c r="DJ13" s="90" t="e">
        <f t="shared" si="19"/>
        <v>#REF!</v>
      </c>
      <c r="DK13" s="90" t="e">
        <f>#REF!</f>
        <v>#REF!</v>
      </c>
      <c r="DL13" s="26" t="e">
        <f t="shared" si="17"/>
        <v>#REF!</v>
      </c>
      <c r="DM13" s="26">
        <f>($Q$43/100)*DG13</f>
        <v>0</v>
      </c>
      <c r="DN13" s="26">
        <f>$R$44*DG13</f>
        <v>0</v>
      </c>
      <c r="DO13" s="26">
        <f>$S$44*DG13</f>
        <v>0</v>
      </c>
      <c r="DP13" s="26">
        <f t="shared" si="18"/>
        <v>532.80000000000007</v>
      </c>
    </row>
    <row r="14" spans="1:130" ht="15" customHeight="1" x14ac:dyDescent="0.2">
      <c r="A14" s="70" t="s">
        <v>125</v>
      </c>
      <c r="B14" s="71">
        <v>43472</v>
      </c>
      <c r="C14" s="70">
        <v>42.82</v>
      </c>
      <c r="D14" s="73">
        <v>2.1800000000000002</v>
      </c>
      <c r="E14" s="73">
        <f t="shared" si="2"/>
        <v>45</v>
      </c>
      <c r="F14" s="63">
        <v>0</v>
      </c>
      <c r="G14" s="74"/>
      <c r="H14" s="73">
        <f t="shared" si="14"/>
        <v>45</v>
      </c>
      <c r="I14" s="70">
        <v>2080</v>
      </c>
      <c r="J14" s="63">
        <f t="shared" si="3"/>
        <v>93600</v>
      </c>
      <c r="K14" s="76">
        <f t="shared" si="4"/>
        <v>17.8</v>
      </c>
      <c r="L14" s="76">
        <f t="shared" si="5"/>
        <v>4</v>
      </c>
      <c r="M14" s="78">
        <f t="shared" si="6"/>
        <v>1022.84</v>
      </c>
      <c r="N14" s="78">
        <f>$N$9</f>
        <v>542.16</v>
      </c>
      <c r="O14" s="63">
        <f t="shared" si="7"/>
        <v>19041.600000000002</v>
      </c>
      <c r="P14" s="63">
        <f t="shared" si="8"/>
        <v>2340</v>
      </c>
      <c r="Q14" s="63">
        <f t="shared" si="9"/>
        <v>6552.0000000000009</v>
      </c>
      <c r="R14" s="63">
        <f t="shared" si="10"/>
        <v>5803.2</v>
      </c>
      <c r="S14" s="63">
        <f t="shared" si="11"/>
        <v>1357.2</v>
      </c>
      <c r="T14" s="63">
        <f t="shared" si="12"/>
        <v>24.3</v>
      </c>
      <c r="U14" s="70">
        <f t="shared" si="13"/>
        <v>2400</v>
      </c>
      <c r="V14" s="70"/>
      <c r="W14" s="70"/>
      <c r="X14" s="70"/>
      <c r="Y14" s="71"/>
      <c r="Z14" s="73"/>
      <c r="AA14" s="4"/>
      <c r="AB14" s="86"/>
      <c r="AC14" s="26"/>
      <c r="AD14" s="88"/>
      <c r="AE14" s="86"/>
      <c r="AF14" s="4"/>
      <c r="AG14" s="26"/>
      <c r="AH14" s="4"/>
      <c r="AI14" s="4"/>
      <c r="AJ14" s="118"/>
      <c r="AK14" s="118"/>
      <c r="AL14" s="119"/>
      <c r="AM14" s="119"/>
      <c r="AN14" s="119"/>
      <c r="AO14" s="26"/>
      <c r="AP14" s="26"/>
      <c r="CY14" s="2" t="s">
        <v>129</v>
      </c>
      <c r="DM14" s="26"/>
      <c r="DN14" s="26"/>
      <c r="DO14" s="26"/>
      <c r="DP14" s="26"/>
    </row>
    <row r="15" spans="1:130" ht="15" customHeight="1" x14ac:dyDescent="0.2">
      <c r="A15" s="70" t="s">
        <v>130</v>
      </c>
      <c r="B15" s="71">
        <v>43717</v>
      </c>
      <c r="C15" s="73">
        <v>39.53</v>
      </c>
      <c r="D15" s="73">
        <v>3.47</v>
      </c>
      <c r="E15" s="73">
        <f t="shared" si="2"/>
        <v>43</v>
      </c>
      <c r="F15" s="63">
        <v>0</v>
      </c>
      <c r="G15" s="74"/>
      <c r="H15" s="73">
        <f t="shared" si="14"/>
        <v>43</v>
      </c>
      <c r="I15" s="70">
        <v>2080</v>
      </c>
      <c r="J15" s="63">
        <f t="shared" si="3"/>
        <v>89440</v>
      </c>
      <c r="K15" s="76">
        <f t="shared" si="4"/>
        <v>17.8</v>
      </c>
      <c r="L15" s="76">
        <f t="shared" si="5"/>
        <v>4</v>
      </c>
      <c r="M15" s="78">
        <f t="shared" si="6"/>
        <v>1022.84</v>
      </c>
      <c r="N15" s="78">
        <v>0</v>
      </c>
      <c r="O15" s="63">
        <f t="shared" si="7"/>
        <v>12535.68</v>
      </c>
      <c r="P15" s="63">
        <f t="shared" si="8"/>
        <v>2236</v>
      </c>
      <c r="Q15" s="63">
        <f t="shared" si="9"/>
        <v>6260.8</v>
      </c>
      <c r="R15" s="63">
        <f t="shared" si="10"/>
        <v>5545.28</v>
      </c>
      <c r="S15" s="63">
        <f t="shared" si="11"/>
        <v>1296.8800000000001</v>
      </c>
      <c r="T15" s="63">
        <f t="shared" si="12"/>
        <v>24.3</v>
      </c>
      <c r="U15" s="70">
        <f t="shared" si="13"/>
        <v>2400</v>
      </c>
      <c r="V15" s="70"/>
      <c r="W15" s="70"/>
      <c r="X15" s="70"/>
      <c r="Y15" s="71"/>
      <c r="Z15" s="73"/>
      <c r="AA15" s="4"/>
      <c r="AB15" s="86"/>
      <c r="AC15" s="26"/>
      <c r="AD15" s="88"/>
      <c r="AE15" s="86"/>
      <c r="AF15" s="4"/>
      <c r="AG15" s="26"/>
      <c r="AH15" s="4"/>
      <c r="AI15" s="4"/>
      <c r="AJ15" s="118"/>
      <c r="AK15" s="118"/>
      <c r="AL15" s="119"/>
      <c r="AM15" s="119"/>
      <c r="AN15" s="119"/>
      <c r="AO15" s="26"/>
      <c r="AP15" s="26"/>
      <c r="DG15" s="26">
        <f>SUM(DG10:DG13)</f>
        <v>153296</v>
      </c>
      <c r="DL15" s="26" t="e">
        <f t="shared" ref="DL15:DP15" si="20">SUM(DL10:DL13)</f>
        <v>#REF!</v>
      </c>
      <c r="DM15" s="26">
        <f t="shared" si="20"/>
        <v>0</v>
      </c>
      <c r="DN15" s="26">
        <f t="shared" si="20"/>
        <v>0</v>
      </c>
      <c r="DO15" s="26">
        <f t="shared" si="20"/>
        <v>0</v>
      </c>
      <c r="DP15" s="26">
        <f t="shared" si="20"/>
        <v>1598.4</v>
      </c>
    </row>
    <row r="16" spans="1:130" ht="15" customHeight="1" x14ac:dyDescent="0.2">
      <c r="A16" s="70" t="s">
        <v>134</v>
      </c>
      <c r="B16" s="71">
        <v>43941</v>
      </c>
      <c r="C16" s="73">
        <v>38.11</v>
      </c>
      <c r="D16" s="73">
        <v>4.8899999999999997</v>
      </c>
      <c r="E16" s="73">
        <f t="shared" si="2"/>
        <v>43</v>
      </c>
      <c r="F16" s="63">
        <v>0</v>
      </c>
      <c r="G16" s="74"/>
      <c r="H16" s="73">
        <f t="shared" si="14"/>
        <v>43</v>
      </c>
      <c r="I16" s="70">
        <v>2080</v>
      </c>
      <c r="J16" s="63">
        <f t="shared" si="3"/>
        <v>89440</v>
      </c>
      <c r="K16" s="76">
        <f t="shared" si="4"/>
        <v>17.8</v>
      </c>
      <c r="L16" s="76">
        <f t="shared" si="5"/>
        <v>4</v>
      </c>
      <c r="M16" s="78">
        <f t="shared" si="6"/>
        <v>1022.84</v>
      </c>
      <c r="N16" s="78">
        <f>N9</f>
        <v>542.16</v>
      </c>
      <c r="O16" s="63">
        <f t="shared" si="7"/>
        <v>19041.600000000002</v>
      </c>
      <c r="P16" s="63">
        <f t="shared" si="8"/>
        <v>2236</v>
      </c>
      <c r="Q16" s="63">
        <f t="shared" si="9"/>
        <v>6260.8</v>
      </c>
      <c r="R16" s="63">
        <f t="shared" si="10"/>
        <v>5545.28</v>
      </c>
      <c r="S16" s="63">
        <f t="shared" si="11"/>
        <v>1296.8800000000001</v>
      </c>
      <c r="T16" s="63">
        <f t="shared" si="12"/>
        <v>24.3</v>
      </c>
      <c r="U16" s="70">
        <f t="shared" si="13"/>
        <v>2400</v>
      </c>
      <c r="V16" s="70"/>
      <c r="W16" s="70"/>
      <c r="X16" s="60"/>
      <c r="Y16" s="60"/>
      <c r="Z16" s="70"/>
      <c r="AA16" s="7"/>
      <c r="AB16" s="7"/>
      <c r="AC16" s="7"/>
      <c r="AD16" s="7"/>
      <c r="AE16" s="7"/>
      <c r="AF16" s="7"/>
      <c r="AG16" s="7"/>
      <c r="AH16" s="7"/>
      <c r="AI16" s="7"/>
      <c r="AJ16" s="47"/>
      <c r="AK16" s="47"/>
      <c r="AL16" s="47"/>
      <c r="AM16" s="47"/>
      <c r="AN16" s="47"/>
      <c r="AO16" s="7"/>
      <c r="AP16" s="26"/>
      <c r="CX16" s="2" t="s">
        <v>138</v>
      </c>
      <c r="CZ16" s="2">
        <v>5</v>
      </c>
      <c r="DD16" s="26">
        <v>0.5</v>
      </c>
      <c r="DE16" s="2" t="e">
        <f t="shared" ref="DE16:DE17" si="21">#REF!*DD16</f>
        <v>#REF!</v>
      </c>
    </row>
    <row r="17" spans="1:120" ht="15" customHeight="1" x14ac:dyDescent="0.2">
      <c r="A17" s="70" t="s">
        <v>139</v>
      </c>
      <c r="B17" s="71">
        <v>44487</v>
      </c>
      <c r="C17" s="73">
        <v>30.12</v>
      </c>
      <c r="D17" s="73">
        <v>2.88</v>
      </c>
      <c r="E17" s="73">
        <f t="shared" si="2"/>
        <v>33</v>
      </c>
      <c r="F17" s="63">
        <v>0</v>
      </c>
      <c r="G17" s="74"/>
      <c r="H17" s="73">
        <f t="shared" si="14"/>
        <v>33</v>
      </c>
      <c r="I17" s="70">
        <v>2080</v>
      </c>
      <c r="J17" s="63">
        <f t="shared" si="3"/>
        <v>68640</v>
      </c>
      <c r="K17" s="76">
        <f t="shared" si="4"/>
        <v>17.8</v>
      </c>
      <c r="L17" s="76">
        <f t="shared" si="5"/>
        <v>4</v>
      </c>
      <c r="M17" s="78">
        <f t="shared" si="6"/>
        <v>1022.84</v>
      </c>
      <c r="N17" s="78">
        <v>0</v>
      </c>
      <c r="O17" s="63">
        <f t="shared" si="7"/>
        <v>12535.68</v>
      </c>
      <c r="P17" s="63">
        <f t="shared" si="8"/>
        <v>1716</v>
      </c>
      <c r="Q17" s="63">
        <f t="shared" si="9"/>
        <v>4804.8</v>
      </c>
      <c r="R17" s="63">
        <f t="shared" si="10"/>
        <v>4255.68</v>
      </c>
      <c r="S17" s="63">
        <f t="shared" si="11"/>
        <v>995.28000000000009</v>
      </c>
      <c r="T17" s="63">
        <f t="shared" si="12"/>
        <v>24.3</v>
      </c>
      <c r="U17" s="70">
        <f t="shared" si="13"/>
        <v>2400</v>
      </c>
      <c r="V17" s="70"/>
      <c r="W17" s="70"/>
      <c r="X17" s="60"/>
      <c r="Y17" s="60"/>
      <c r="Z17" s="70"/>
      <c r="AA17" s="7"/>
      <c r="AB17" s="7"/>
      <c r="AC17" s="7"/>
      <c r="AD17" s="7"/>
      <c r="AE17" s="7"/>
      <c r="AF17" s="7"/>
      <c r="AG17" s="26"/>
      <c r="AH17" s="4"/>
      <c r="AI17" s="4"/>
      <c r="AJ17" s="118"/>
      <c r="AK17" s="118"/>
      <c r="AL17" s="119"/>
      <c r="AM17" s="119"/>
      <c r="AN17" s="119"/>
      <c r="AO17" s="26"/>
      <c r="AP17" s="7"/>
      <c r="AQ17" s="7"/>
      <c r="CX17" s="2" t="s">
        <v>143</v>
      </c>
      <c r="DA17" s="2">
        <v>72792.820000000007</v>
      </c>
      <c r="DD17" s="2" t="e">
        <f t="shared" ref="DD17:DD20" si="22">#REF!/100</f>
        <v>#REF!</v>
      </c>
      <c r="DE17" s="2" t="e">
        <f t="shared" si="21"/>
        <v>#REF!</v>
      </c>
      <c r="DG17" s="2" t="e">
        <f>DG14+#REF!</f>
        <v>#REF!</v>
      </c>
      <c r="DN17" s="126" t="s">
        <v>145</v>
      </c>
      <c r="DP17" s="26">
        <f>SUM(DM14:DP14)</f>
        <v>0</v>
      </c>
    </row>
    <row r="18" spans="1:120" ht="15" customHeight="1" x14ac:dyDescent="0.2">
      <c r="A18" s="70" t="s">
        <v>147</v>
      </c>
      <c r="B18" s="71">
        <v>44487</v>
      </c>
      <c r="C18" s="73">
        <v>33.4</v>
      </c>
      <c r="D18" s="73">
        <v>0.6</v>
      </c>
      <c r="E18" s="73">
        <f t="shared" si="2"/>
        <v>34</v>
      </c>
      <c r="F18" s="63">
        <v>0</v>
      </c>
      <c r="G18" s="74"/>
      <c r="H18" s="73">
        <f t="shared" si="14"/>
        <v>34</v>
      </c>
      <c r="I18" s="70">
        <v>2080</v>
      </c>
      <c r="J18" s="63">
        <f t="shared" si="3"/>
        <v>70720</v>
      </c>
      <c r="K18" s="76">
        <f t="shared" si="4"/>
        <v>17.8</v>
      </c>
      <c r="L18" s="76">
        <f t="shared" si="5"/>
        <v>4</v>
      </c>
      <c r="M18" s="78">
        <f t="shared" si="6"/>
        <v>1022.84</v>
      </c>
      <c r="N18" s="78">
        <v>0</v>
      </c>
      <c r="O18" s="63">
        <f t="shared" si="7"/>
        <v>12535.68</v>
      </c>
      <c r="P18" s="63">
        <f t="shared" si="8"/>
        <v>1768</v>
      </c>
      <c r="Q18" s="63">
        <f t="shared" si="9"/>
        <v>4950.4000000000005</v>
      </c>
      <c r="R18" s="63">
        <f t="shared" si="10"/>
        <v>4384.6400000000003</v>
      </c>
      <c r="S18" s="63">
        <f t="shared" si="11"/>
        <v>1025.44</v>
      </c>
      <c r="T18" s="63">
        <f t="shared" si="12"/>
        <v>24.3</v>
      </c>
      <c r="U18" s="70">
        <f t="shared" si="13"/>
        <v>2400</v>
      </c>
      <c r="V18" s="70"/>
      <c r="W18" s="70"/>
      <c r="X18" s="60"/>
      <c r="Y18" s="60"/>
      <c r="Z18" s="70"/>
      <c r="AA18" s="7"/>
      <c r="AB18" s="7"/>
      <c r="AC18" s="7"/>
      <c r="AD18" s="7"/>
      <c r="AE18" s="7"/>
      <c r="AF18" s="7"/>
      <c r="AG18" s="26"/>
      <c r="AH18" s="4"/>
      <c r="AI18" s="4"/>
      <c r="AJ18" s="118"/>
      <c r="AK18" s="118"/>
      <c r="AL18" s="119"/>
      <c r="AM18" s="119"/>
      <c r="AN18" s="119"/>
      <c r="AO18" s="26"/>
      <c r="AP18" s="7"/>
      <c r="AQ18" s="7"/>
      <c r="CX18" s="2" t="s">
        <v>143</v>
      </c>
      <c r="DA18" s="2">
        <v>72792.820000000007</v>
      </c>
      <c r="DD18" s="2" t="e">
        <f t="shared" si="22"/>
        <v>#REF!</v>
      </c>
      <c r="DE18" s="2" t="e">
        <f>DC17*DD18</f>
        <v>#REF!</v>
      </c>
      <c r="DG18" s="2" t="e">
        <f>#REF!+#REF!</f>
        <v>#REF!</v>
      </c>
      <c r="DN18" s="126" t="s">
        <v>145</v>
      </c>
      <c r="DP18" s="26" t="e">
        <f>SUM(#REF!)</f>
        <v>#REF!</v>
      </c>
    </row>
    <row r="19" spans="1:120" ht="15" customHeight="1" x14ac:dyDescent="0.2">
      <c r="A19" s="70" t="s">
        <v>151</v>
      </c>
      <c r="B19" s="130">
        <v>44599</v>
      </c>
      <c r="C19" s="73">
        <v>45.54</v>
      </c>
      <c r="D19" s="73">
        <v>2.5</v>
      </c>
      <c r="E19" s="73">
        <f t="shared" si="2"/>
        <v>48.04</v>
      </c>
      <c r="F19" s="63">
        <v>2.5</v>
      </c>
      <c r="G19" s="74">
        <v>6</v>
      </c>
      <c r="H19" s="73">
        <f>E19+F19</f>
        <v>50.54</v>
      </c>
      <c r="I19" s="70">
        <v>2080</v>
      </c>
      <c r="J19" s="63">
        <f t="shared" si="3"/>
        <v>102523.2</v>
      </c>
      <c r="K19" s="76">
        <f t="shared" si="4"/>
        <v>17.8</v>
      </c>
      <c r="L19" s="76">
        <f t="shared" si="5"/>
        <v>4</v>
      </c>
      <c r="M19" s="78">
        <f t="shared" si="6"/>
        <v>1022.84</v>
      </c>
      <c r="N19" s="78">
        <f>N9</f>
        <v>542.16</v>
      </c>
      <c r="O19" s="63">
        <f t="shared" si="7"/>
        <v>19041.600000000002</v>
      </c>
      <c r="P19" s="63">
        <f t="shared" si="8"/>
        <v>2563.08</v>
      </c>
      <c r="Q19" s="63">
        <f t="shared" si="9"/>
        <v>7176.6240000000007</v>
      </c>
      <c r="R19" s="63">
        <f t="shared" si="10"/>
        <v>6356.4384</v>
      </c>
      <c r="S19" s="63">
        <f t="shared" si="11"/>
        <v>1486.5864000000001</v>
      </c>
      <c r="T19" s="63">
        <f t="shared" si="12"/>
        <v>24.3</v>
      </c>
      <c r="U19" s="70">
        <f t="shared" si="13"/>
        <v>2400</v>
      </c>
      <c r="V19" s="70"/>
      <c r="W19" s="70"/>
      <c r="X19" s="60"/>
      <c r="Y19" s="60"/>
      <c r="Z19" s="70"/>
      <c r="AA19" s="7"/>
      <c r="AB19" s="7"/>
      <c r="AC19" s="7"/>
      <c r="AD19" s="7"/>
      <c r="AE19" s="7"/>
      <c r="AF19" s="7"/>
      <c r="AG19" s="26"/>
      <c r="AH19" s="4"/>
      <c r="AI19" s="4"/>
      <c r="AJ19" s="118"/>
      <c r="AK19" s="118"/>
      <c r="AL19" s="119"/>
      <c r="AM19" s="119"/>
      <c r="AN19" s="119"/>
      <c r="AO19" s="26"/>
      <c r="AP19" s="7"/>
      <c r="AQ19" s="7"/>
      <c r="CX19" s="2" t="s">
        <v>143</v>
      </c>
      <c r="DA19" s="2">
        <v>72792.820000000007</v>
      </c>
      <c r="DD19" s="2" t="e">
        <f t="shared" si="22"/>
        <v>#REF!</v>
      </c>
      <c r="DE19" s="2" t="e">
        <f>#REF!*DD19</f>
        <v>#REF!</v>
      </c>
      <c r="DG19" s="2" t="e">
        <f>DG16+#REF!</f>
        <v>#REF!</v>
      </c>
      <c r="DN19" s="126" t="s">
        <v>145</v>
      </c>
      <c r="DP19" s="26">
        <f>SUM(DM16:DP16)</f>
        <v>0</v>
      </c>
    </row>
    <row r="20" spans="1:120" ht="15" customHeight="1" x14ac:dyDescent="0.2">
      <c r="A20" s="70" t="s">
        <v>156</v>
      </c>
      <c r="B20" s="71">
        <v>44614</v>
      </c>
      <c r="C20" s="73">
        <v>31.84</v>
      </c>
      <c r="D20" s="73">
        <v>1.1599999999999999</v>
      </c>
      <c r="E20" s="73">
        <f t="shared" si="2"/>
        <v>33</v>
      </c>
      <c r="F20" s="63">
        <v>0</v>
      </c>
      <c r="G20" s="74"/>
      <c r="H20" s="73">
        <f t="shared" si="14"/>
        <v>33</v>
      </c>
      <c r="I20" s="70">
        <v>2080</v>
      </c>
      <c r="J20" s="63">
        <f t="shared" si="3"/>
        <v>68640</v>
      </c>
      <c r="K20" s="76">
        <f t="shared" si="4"/>
        <v>17.8</v>
      </c>
      <c r="L20" s="76">
        <f t="shared" si="5"/>
        <v>4</v>
      </c>
      <c r="M20" s="78">
        <f t="shared" si="6"/>
        <v>1022.84</v>
      </c>
      <c r="N20" s="78">
        <v>0</v>
      </c>
      <c r="O20" s="63">
        <f t="shared" si="7"/>
        <v>12535.68</v>
      </c>
      <c r="P20" s="63">
        <f t="shared" si="8"/>
        <v>1716</v>
      </c>
      <c r="Q20" s="63">
        <f t="shared" si="9"/>
        <v>4804.8</v>
      </c>
      <c r="R20" s="63">
        <f t="shared" si="10"/>
        <v>4255.68</v>
      </c>
      <c r="S20" s="63">
        <f t="shared" si="11"/>
        <v>995.28000000000009</v>
      </c>
      <c r="T20" s="63">
        <f t="shared" si="12"/>
        <v>24.3</v>
      </c>
      <c r="U20" s="70">
        <f t="shared" si="13"/>
        <v>2400</v>
      </c>
      <c r="V20" s="70"/>
      <c r="W20" s="70"/>
      <c r="X20" s="60"/>
      <c r="Y20" s="60"/>
      <c r="Z20" s="70"/>
      <c r="AA20" s="7"/>
      <c r="AB20" s="7"/>
      <c r="AC20" s="7"/>
      <c r="AD20" s="7"/>
      <c r="AE20" s="7"/>
      <c r="AF20" s="7"/>
      <c r="AG20" s="26"/>
      <c r="AH20" s="4"/>
      <c r="AI20" s="4"/>
      <c r="AJ20" s="118"/>
      <c r="AK20" s="118"/>
      <c r="AL20" s="119"/>
      <c r="AM20" s="119"/>
      <c r="AN20" s="119"/>
      <c r="AO20" s="26"/>
      <c r="AP20" s="7"/>
      <c r="AQ20" s="7"/>
      <c r="CX20" s="2" t="s">
        <v>143</v>
      </c>
      <c r="DA20" s="2">
        <v>72792.820000000007</v>
      </c>
      <c r="DD20" s="2" t="e">
        <f t="shared" si="22"/>
        <v>#REF!</v>
      </c>
      <c r="DE20" s="2" t="e">
        <f>DC19*DD20</f>
        <v>#REF!</v>
      </c>
      <c r="DG20" s="2" t="e">
        <f>#REF!+#REF!</f>
        <v>#REF!</v>
      </c>
      <c r="DN20" s="126" t="s">
        <v>145</v>
      </c>
      <c r="DP20" s="26" t="e">
        <f t="shared" ref="DP20:DP21" si="23">SUM(#REF!)</f>
        <v>#REF!</v>
      </c>
    </row>
    <row r="21" spans="1:120" ht="15" customHeight="1" x14ac:dyDescent="0.2">
      <c r="A21" s="70" t="s">
        <v>176</v>
      </c>
      <c r="B21" s="71">
        <v>45831</v>
      </c>
      <c r="C21" s="73">
        <v>27.57</v>
      </c>
      <c r="D21" s="73">
        <v>3.43</v>
      </c>
      <c r="E21" s="73">
        <f t="shared" si="2"/>
        <v>31</v>
      </c>
      <c r="F21" s="63">
        <v>0</v>
      </c>
      <c r="G21" s="74"/>
      <c r="H21" s="73">
        <f t="shared" si="14"/>
        <v>31</v>
      </c>
      <c r="I21" s="70">
        <v>2080</v>
      </c>
      <c r="J21" s="63">
        <f t="shared" si="3"/>
        <v>64480</v>
      </c>
      <c r="K21" s="76">
        <f t="shared" si="4"/>
        <v>17.8</v>
      </c>
      <c r="L21" s="76">
        <f t="shared" si="5"/>
        <v>4</v>
      </c>
      <c r="M21" s="78">
        <f t="shared" si="6"/>
        <v>1022.84</v>
      </c>
      <c r="N21" s="78">
        <v>0</v>
      </c>
      <c r="O21" s="63">
        <f t="shared" si="7"/>
        <v>12535.68</v>
      </c>
      <c r="P21" s="63">
        <f t="shared" si="8"/>
        <v>1612</v>
      </c>
      <c r="Q21" s="63">
        <f t="shared" si="9"/>
        <v>4513.6000000000004</v>
      </c>
      <c r="R21" s="63">
        <f t="shared" si="10"/>
        <v>3997.7599999999998</v>
      </c>
      <c r="S21" s="63">
        <f t="shared" si="11"/>
        <v>934.96</v>
      </c>
      <c r="T21" s="63">
        <f t="shared" si="12"/>
        <v>24.3</v>
      </c>
      <c r="U21" s="70">
        <f t="shared" si="13"/>
        <v>2400</v>
      </c>
      <c r="V21" s="70"/>
      <c r="W21" s="70"/>
      <c r="X21" s="60"/>
      <c r="Y21" s="60"/>
      <c r="Z21" s="70"/>
      <c r="AA21" s="7"/>
      <c r="AB21" s="7"/>
      <c r="AC21" s="7"/>
      <c r="AD21" s="7"/>
      <c r="AE21" s="7"/>
      <c r="AF21" s="7"/>
      <c r="AG21" s="26"/>
      <c r="AH21" s="4"/>
      <c r="AI21" s="4"/>
      <c r="AJ21" s="118"/>
      <c r="AK21" s="118"/>
      <c r="AL21" s="119"/>
      <c r="AM21" s="119"/>
      <c r="AN21" s="119"/>
      <c r="AO21" s="26"/>
      <c r="AP21" s="7"/>
      <c r="AQ21" s="7"/>
      <c r="CX21" s="2" t="s">
        <v>143</v>
      </c>
      <c r="DA21" s="2">
        <v>72792.820000000007</v>
      </c>
      <c r="DD21" s="2">
        <f>CZ17/100</f>
        <v>0</v>
      </c>
      <c r="DE21" s="2">
        <f>DC18*DD21</f>
        <v>0</v>
      </c>
      <c r="DG21" s="2" t="e">
        <f>#REF!+DG17</f>
        <v>#REF!</v>
      </c>
      <c r="DN21" s="126" t="s">
        <v>145</v>
      </c>
      <c r="DP21" s="26" t="e">
        <f t="shared" si="23"/>
        <v>#REF!</v>
      </c>
    </row>
    <row r="22" spans="1:120" ht="15" customHeight="1" x14ac:dyDescent="0.2">
      <c r="A22" s="70" t="s">
        <v>185</v>
      </c>
      <c r="B22" s="71">
        <v>45972</v>
      </c>
      <c r="C22" s="73">
        <v>25</v>
      </c>
      <c r="D22" s="73">
        <v>4</v>
      </c>
      <c r="E22" s="73">
        <f t="shared" si="2"/>
        <v>29</v>
      </c>
      <c r="F22" s="63">
        <v>0</v>
      </c>
      <c r="G22" s="74"/>
      <c r="H22" s="73">
        <f t="shared" si="14"/>
        <v>29</v>
      </c>
      <c r="I22" s="70">
        <v>2080</v>
      </c>
      <c r="J22" s="63">
        <f t="shared" si="3"/>
        <v>60320</v>
      </c>
      <c r="K22" s="76">
        <f t="shared" si="4"/>
        <v>17.8</v>
      </c>
      <c r="L22" s="76">
        <f t="shared" si="5"/>
        <v>4</v>
      </c>
      <c r="M22" s="78">
        <f t="shared" si="6"/>
        <v>1022.84</v>
      </c>
      <c r="N22" s="78">
        <v>0</v>
      </c>
      <c r="O22" s="63">
        <f t="shared" si="7"/>
        <v>12535.68</v>
      </c>
      <c r="P22" s="63">
        <f t="shared" si="8"/>
        <v>1508</v>
      </c>
      <c r="Q22" s="63">
        <f t="shared" si="9"/>
        <v>4222.4000000000005</v>
      </c>
      <c r="R22" s="63">
        <f t="shared" si="10"/>
        <v>3739.84</v>
      </c>
      <c r="S22" s="63">
        <f t="shared" si="11"/>
        <v>874.6400000000001</v>
      </c>
      <c r="T22" s="63">
        <f t="shared" si="12"/>
        <v>24.3</v>
      </c>
      <c r="U22" s="70">
        <f t="shared" si="13"/>
        <v>2400</v>
      </c>
      <c r="V22" s="70"/>
      <c r="W22" s="70"/>
      <c r="X22" s="60"/>
      <c r="Y22" s="60"/>
      <c r="Z22" s="70"/>
      <c r="AA22" s="7"/>
      <c r="AB22" s="7"/>
      <c r="AC22" s="7"/>
      <c r="AD22" s="7"/>
      <c r="AE22" s="7"/>
      <c r="AF22" s="7"/>
      <c r="AG22" s="26"/>
      <c r="AH22" s="4"/>
      <c r="AI22" s="4"/>
      <c r="AJ22" s="118"/>
      <c r="AK22" s="118"/>
      <c r="AL22" s="119"/>
      <c r="AM22" s="119"/>
      <c r="AN22" s="119"/>
      <c r="AO22" s="26"/>
      <c r="AP22" s="7"/>
      <c r="AQ22" s="7"/>
      <c r="DN22" s="126"/>
      <c r="DP22" s="26"/>
    </row>
    <row r="23" spans="1:120" ht="15" customHeight="1" x14ac:dyDescent="0.2">
      <c r="A23" s="70" t="s">
        <v>190</v>
      </c>
      <c r="B23" s="71">
        <v>45951</v>
      </c>
      <c r="C23" s="73">
        <v>25</v>
      </c>
      <c r="D23" s="73">
        <v>4</v>
      </c>
      <c r="E23" s="73">
        <f t="shared" si="2"/>
        <v>29</v>
      </c>
      <c r="F23" s="63">
        <v>0</v>
      </c>
      <c r="G23" s="74"/>
      <c r="H23" s="73">
        <f t="shared" si="14"/>
        <v>29</v>
      </c>
      <c r="I23" s="70">
        <v>2080</v>
      </c>
      <c r="J23" s="63">
        <f t="shared" si="3"/>
        <v>60320</v>
      </c>
      <c r="K23" s="76">
        <f t="shared" si="4"/>
        <v>17.8</v>
      </c>
      <c r="L23" s="76">
        <f t="shared" si="5"/>
        <v>4</v>
      </c>
      <c r="M23" s="78">
        <f t="shared" si="6"/>
        <v>1022.84</v>
      </c>
      <c r="N23" s="78">
        <v>0</v>
      </c>
      <c r="O23" s="63">
        <f t="shared" si="7"/>
        <v>12535.68</v>
      </c>
      <c r="P23" s="63">
        <f t="shared" si="8"/>
        <v>1508</v>
      </c>
      <c r="Q23" s="63">
        <f t="shared" si="9"/>
        <v>4222.4000000000005</v>
      </c>
      <c r="R23" s="63">
        <f t="shared" si="10"/>
        <v>3739.84</v>
      </c>
      <c r="S23" s="63">
        <f t="shared" si="11"/>
        <v>874.6400000000001</v>
      </c>
      <c r="T23" s="63">
        <f t="shared" si="12"/>
        <v>24.3</v>
      </c>
      <c r="U23" s="70">
        <f t="shared" si="13"/>
        <v>2400</v>
      </c>
      <c r="V23" s="70"/>
      <c r="W23" s="70"/>
      <c r="X23" s="60"/>
      <c r="Y23" s="60"/>
      <c r="Z23" s="70"/>
      <c r="AA23" s="7"/>
      <c r="AB23" s="7"/>
      <c r="AC23" s="7"/>
      <c r="AD23" s="7"/>
      <c r="AE23" s="7"/>
      <c r="AF23" s="7"/>
      <c r="AG23" s="26"/>
      <c r="AH23" s="4"/>
      <c r="AI23" s="4"/>
      <c r="AJ23" s="118"/>
      <c r="AK23" s="118"/>
      <c r="AL23" s="119"/>
      <c r="AM23" s="119"/>
      <c r="AN23" s="119"/>
      <c r="AO23" s="26"/>
      <c r="AP23" s="7"/>
      <c r="AQ23" s="7"/>
      <c r="DN23" s="126"/>
      <c r="DP23" s="26"/>
    </row>
    <row r="24" spans="1:120" ht="15" customHeight="1" x14ac:dyDescent="0.2">
      <c r="A24" s="70" t="s">
        <v>194</v>
      </c>
      <c r="B24" s="71">
        <v>46216</v>
      </c>
      <c r="C24" s="73">
        <v>25</v>
      </c>
      <c r="D24" s="73">
        <v>25</v>
      </c>
      <c r="E24" s="73">
        <f t="shared" si="2"/>
        <v>50</v>
      </c>
      <c r="F24" s="63">
        <v>0</v>
      </c>
      <c r="G24" s="74"/>
      <c r="H24" s="73">
        <f t="shared" si="14"/>
        <v>50</v>
      </c>
      <c r="I24" s="70">
        <v>2080</v>
      </c>
      <c r="J24" s="63">
        <f t="shared" si="3"/>
        <v>104000</v>
      </c>
      <c r="K24" s="76">
        <f t="shared" si="4"/>
        <v>17.8</v>
      </c>
      <c r="L24" s="76">
        <f t="shared" si="5"/>
        <v>4</v>
      </c>
      <c r="M24" s="78">
        <f t="shared" si="6"/>
        <v>1022.84</v>
      </c>
      <c r="N24" s="78">
        <v>0</v>
      </c>
      <c r="O24" s="63">
        <f t="shared" ref="O24" si="24">SUM(K24:N24)*12</f>
        <v>12535.68</v>
      </c>
      <c r="P24" s="63">
        <f t="shared" ref="P24" si="25">J24*$P$8</f>
        <v>2600</v>
      </c>
      <c r="Q24" s="63">
        <f t="shared" ref="Q24" si="26">($Q$8)*J24</f>
        <v>7280.0000000000009</v>
      </c>
      <c r="R24" s="63">
        <f t="shared" ref="R24" si="27">$R$8*J24</f>
        <v>6448</v>
      </c>
      <c r="S24" s="63">
        <f t="shared" ref="S24" si="28">$S$8*J24</f>
        <v>1508</v>
      </c>
      <c r="T24" s="63">
        <f t="shared" si="12"/>
        <v>24.3</v>
      </c>
      <c r="U24" s="70">
        <f t="shared" si="13"/>
        <v>2400</v>
      </c>
      <c r="V24" s="70"/>
      <c r="W24" s="70"/>
      <c r="X24" s="60"/>
      <c r="Y24" s="60"/>
      <c r="Z24" s="70"/>
      <c r="AA24" s="7"/>
      <c r="AB24" s="7"/>
      <c r="AC24" s="7"/>
      <c r="AD24" s="7"/>
      <c r="AE24" s="7"/>
      <c r="AF24" s="7"/>
      <c r="AG24" s="26"/>
      <c r="AH24" s="4"/>
      <c r="AI24" s="4"/>
      <c r="AJ24" s="118"/>
      <c r="AK24" s="118"/>
      <c r="AL24" s="119"/>
      <c r="AM24" s="119"/>
      <c r="AN24" s="119"/>
      <c r="AO24" s="26"/>
      <c r="AP24" s="7"/>
      <c r="AQ24" s="7"/>
      <c r="DN24" s="126"/>
      <c r="DP24" s="26"/>
    </row>
    <row r="25" spans="1:120" ht="15" customHeight="1" x14ac:dyDescent="0.2">
      <c r="A25" s="70" t="s">
        <v>196</v>
      </c>
      <c r="B25" s="71"/>
      <c r="C25" s="73">
        <v>25</v>
      </c>
      <c r="D25" s="73">
        <v>2.5</v>
      </c>
      <c r="E25" s="73">
        <f t="shared" ref="E25:E26" si="29">(C25+D25)*1</f>
        <v>27.5</v>
      </c>
      <c r="F25" s="63">
        <v>0</v>
      </c>
      <c r="G25" s="74"/>
      <c r="H25" s="73">
        <f t="shared" si="14"/>
        <v>27.5</v>
      </c>
      <c r="I25" s="70">
        <v>2080</v>
      </c>
      <c r="J25" s="63">
        <f t="shared" si="3"/>
        <v>57200</v>
      </c>
      <c r="K25" s="76">
        <f t="shared" ref="K25:K26" si="30">$K$4</f>
        <v>17.8</v>
      </c>
      <c r="L25" s="76">
        <f t="shared" ref="L25:L26" si="31">$L$4</f>
        <v>4</v>
      </c>
      <c r="M25" s="78">
        <f t="shared" ref="M25:M26" si="32">$M$9</f>
        <v>1022.84</v>
      </c>
      <c r="N25" s="78">
        <v>0</v>
      </c>
      <c r="O25" s="63">
        <f t="shared" ref="O25:O26" si="33">SUM(K25:N25)*12</f>
        <v>12535.68</v>
      </c>
      <c r="P25" s="63">
        <f t="shared" ref="P25:P26" si="34">J25*$P$8</f>
        <v>1430</v>
      </c>
      <c r="Q25" s="63">
        <f t="shared" ref="Q25:Q26" si="35">($Q$8)*J25</f>
        <v>4004.0000000000005</v>
      </c>
      <c r="R25" s="63">
        <f t="shared" ref="R25:R26" si="36">$R$8*J25</f>
        <v>3546.4</v>
      </c>
      <c r="S25" s="63">
        <f t="shared" ref="S25:S26" si="37">$S$8*J25</f>
        <v>829.40000000000009</v>
      </c>
      <c r="T25" s="63">
        <f t="shared" ref="T25:T26" si="38">$T$8*9000</f>
        <v>24.3</v>
      </c>
      <c r="U25" s="70">
        <f t="shared" ref="U25:U26" si="39">200*12</f>
        <v>2400</v>
      </c>
      <c r="V25" s="70"/>
      <c r="W25" s="70"/>
      <c r="X25" s="60"/>
      <c r="Y25" s="60"/>
      <c r="Z25" s="70"/>
      <c r="AA25" s="7"/>
      <c r="AB25" s="7"/>
      <c r="AC25" s="7"/>
      <c r="AD25" s="7"/>
      <c r="AE25" s="7"/>
      <c r="AF25" s="7"/>
      <c r="AG25" s="26"/>
      <c r="AH25" s="4"/>
      <c r="AI25" s="4"/>
      <c r="AJ25" s="118"/>
      <c r="AK25" s="118"/>
      <c r="AL25" s="119"/>
      <c r="AM25" s="119"/>
      <c r="AN25" s="119"/>
      <c r="AO25" s="26"/>
      <c r="AP25" s="7"/>
      <c r="AQ25" s="7"/>
      <c r="CX25" s="2" t="s">
        <v>143</v>
      </c>
      <c r="DA25" s="2">
        <v>72792.820000000007</v>
      </c>
      <c r="DD25" s="2">
        <f>CZ18/100</f>
        <v>0</v>
      </c>
      <c r="DE25" s="2">
        <f>DC19*DD25</f>
        <v>0</v>
      </c>
      <c r="DG25" s="2" t="e">
        <f>#REF!+DG18</f>
        <v>#REF!</v>
      </c>
      <c r="DN25" s="126" t="s">
        <v>145</v>
      </c>
      <c r="DP25" s="26" t="e">
        <f t="shared" ref="DP25:DP26" si="40">SUM(#REF!)</f>
        <v>#REF!</v>
      </c>
    </row>
    <row r="26" spans="1:120" ht="15" customHeight="1" x14ac:dyDescent="0.2">
      <c r="A26" s="70" t="s">
        <v>196</v>
      </c>
      <c r="B26" s="71"/>
      <c r="C26" s="73">
        <v>25</v>
      </c>
      <c r="D26" s="73">
        <v>2.5</v>
      </c>
      <c r="E26" s="73">
        <f t="shared" si="29"/>
        <v>27.5</v>
      </c>
      <c r="F26" s="63">
        <v>0</v>
      </c>
      <c r="G26" s="74"/>
      <c r="H26" s="73">
        <f t="shared" si="14"/>
        <v>27.5</v>
      </c>
      <c r="I26" s="70">
        <v>2080</v>
      </c>
      <c r="J26" s="63">
        <f t="shared" si="3"/>
        <v>57200</v>
      </c>
      <c r="K26" s="76">
        <f t="shared" si="30"/>
        <v>17.8</v>
      </c>
      <c r="L26" s="76">
        <f t="shared" si="31"/>
        <v>4</v>
      </c>
      <c r="M26" s="78">
        <f t="shared" si="32"/>
        <v>1022.84</v>
      </c>
      <c r="N26" s="78">
        <v>0</v>
      </c>
      <c r="O26" s="63">
        <f t="shared" si="33"/>
        <v>12535.68</v>
      </c>
      <c r="P26" s="63">
        <f t="shared" si="34"/>
        <v>1430</v>
      </c>
      <c r="Q26" s="63">
        <f t="shared" si="35"/>
        <v>4004.0000000000005</v>
      </c>
      <c r="R26" s="63">
        <f t="shared" si="36"/>
        <v>3546.4</v>
      </c>
      <c r="S26" s="63">
        <f t="shared" si="37"/>
        <v>829.40000000000009</v>
      </c>
      <c r="T26" s="63">
        <f t="shared" si="38"/>
        <v>24.3</v>
      </c>
      <c r="U26" s="70">
        <f t="shared" si="39"/>
        <v>2400</v>
      </c>
      <c r="V26" s="70"/>
      <c r="W26" s="70"/>
      <c r="X26" s="60"/>
      <c r="Y26" s="60"/>
      <c r="Z26" s="70"/>
      <c r="AA26" s="7"/>
      <c r="AB26" s="7"/>
      <c r="AC26" s="7"/>
      <c r="AD26" s="7"/>
      <c r="AE26" s="7"/>
      <c r="AF26" s="7"/>
      <c r="AG26" s="26"/>
      <c r="AH26" s="4"/>
      <c r="AI26" s="4"/>
      <c r="AJ26" s="118"/>
      <c r="AK26" s="118"/>
      <c r="AL26" s="119"/>
      <c r="AM26" s="119"/>
      <c r="AN26" s="119"/>
      <c r="AO26" s="26"/>
      <c r="AP26" s="7"/>
      <c r="AQ26" s="7"/>
      <c r="CX26" s="2" t="s">
        <v>143</v>
      </c>
      <c r="DA26" s="2">
        <v>72792.820000000007</v>
      </c>
      <c r="DD26" s="2">
        <f>CZ19/100</f>
        <v>0</v>
      </c>
      <c r="DE26" s="2">
        <f>DC20*DD26</f>
        <v>0</v>
      </c>
      <c r="DG26" s="2" t="e">
        <f>#REF!+DG19</f>
        <v>#REF!</v>
      </c>
      <c r="DN26" s="126" t="s">
        <v>145</v>
      </c>
      <c r="DP26" s="26" t="e">
        <f t="shared" si="40"/>
        <v>#REF!</v>
      </c>
    </row>
    <row r="27" spans="1:120" ht="15" customHeight="1" x14ac:dyDescent="0.2">
      <c r="B27" s="70"/>
      <c r="C27" s="70"/>
      <c r="D27" s="153"/>
      <c r="E27" s="70"/>
      <c r="F27" s="70"/>
      <c r="G27" s="63"/>
      <c r="H27" s="70"/>
      <c r="I27" s="70"/>
      <c r="J27" s="70"/>
      <c r="K27" s="153">
        <f>SUM(K10:K26)</f>
        <v>302.60000000000008</v>
      </c>
      <c r="L27" s="153">
        <f>SUM(L10:L26)</f>
        <v>68</v>
      </c>
      <c r="M27" s="153">
        <f>SUM(M10:M26)</f>
        <v>17388.28</v>
      </c>
      <c r="N27" s="153">
        <f>SUM(N10:N26)</f>
        <v>2710.7999999999997</v>
      </c>
      <c r="O27" s="153"/>
      <c r="P27" s="153">
        <f t="shared" ref="P27:U27" si="41">SUM(P10:P26)</f>
        <v>35226.879999999997</v>
      </c>
      <c r="Q27" s="153">
        <f t="shared" si="41"/>
        <v>98635.26400000001</v>
      </c>
      <c r="R27" s="153">
        <f t="shared" si="41"/>
        <v>87362.662399999987</v>
      </c>
      <c r="S27" s="153">
        <f t="shared" si="41"/>
        <v>20431.590400000005</v>
      </c>
      <c r="T27" s="153">
        <f t="shared" si="41"/>
        <v>413.10000000000014</v>
      </c>
      <c r="U27" s="70">
        <f t="shared" si="41"/>
        <v>40800</v>
      </c>
      <c r="V27" s="70"/>
      <c r="W27" s="70"/>
      <c r="X27" s="70"/>
      <c r="Y27" s="71"/>
      <c r="Z27" s="73"/>
      <c r="AA27" s="4"/>
      <c r="AB27" s="86"/>
      <c r="AC27" s="26"/>
      <c r="AD27" s="88"/>
      <c r="AE27" s="86"/>
      <c r="AF27" s="4"/>
      <c r="AG27" s="26"/>
      <c r="AH27" s="4"/>
      <c r="AI27" s="4"/>
      <c r="AJ27" s="118"/>
      <c r="AK27" s="118"/>
      <c r="AL27" s="119"/>
      <c r="AM27" s="119"/>
      <c r="AN27" s="119"/>
      <c r="AO27" s="26"/>
      <c r="AP27" s="26"/>
      <c r="DA27" s="2" t="e">
        <f>#REF!/2080</f>
        <v>#REF!</v>
      </c>
      <c r="DG27" s="154">
        <f>J106</f>
        <v>0</v>
      </c>
      <c r="DJ27" s="2">
        <v>222094</v>
      </c>
    </row>
    <row r="28" spans="1:120" ht="15" customHeight="1" x14ac:dyDescent="0.2">
      <c r="A28" s="70" t="s">
        <v>138</v>
      </c>
      <c r="B28" s="70"/>
      <c r="C28" s="70"/>
      <c r="D28" s="70">
        <f>Budget!B73</f>
        <v>0</v>
      </c>
      <c r="E28" s="70">
        <f>((D28/100))+1</f>
        <v>1</v>
      </c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3"/>
      <c r="T28" s="70"/>
      <c r="U28" s="70"/>
      <c r="V28" s="70"/>
      <c r="W28" s="70"/>
      <c r="X28" s="70"/>
      <c r="Y28" s="71"/>
      <c r="Z28" s="73"/>
      <c r="AA28" s="4"/>
      <c r="AB28" s="86"/>
      <c r="AC28" s="26"/>
      <c r="AD28" s="88"/>
      <c r="AE28" s="86"/>
      <c r="AF28" s="4"/>
      <c r="AG28" s="26"/>
      <c r="AH28" s="4"/>
      <c r="AI28" s="4"/>
      <c r="AJ28" s="118"/>
      <c r="AK28" s="118"/>
      <c r="AL28" s="119"/>
      <c r="AM28" s="119"/>
      <c r="AN28" s="119"/>
      <c r="AO28" s="26"/>
      <c r="AP28" s="26"/>
      <c r="DG28" s="2" t="e">
        <f>#REF!-DG27</f>
        <v>#REF!</v>
      </c>
      <c r="DJ28" s="2">
        <v>216170</v>
      </c>
    </row>
    <row r="29" spans="1:120" ht="12.75" customHeight="1" x14ac:dyDescent="0.2">
      <c r="A29" s="70" t="s">
        <v>143</v>
      </c>
      <c r="B29" s="70"/>
      <c r="C29" s="73"/>
      <c r="D29" s="73"/>
      <c r="E29" s="73"/>
      <c r="F29" s="73">
        <f>SUM(F10:F26)</f>
        <v>2.5</v>
      </c>
      <c r="G29" s="73"/>
      <c r="H29" s="73">
        <f>SUM(H10:H26)</f>
        <v>678.69</v>
      </c>
      <c r="I29" s="73"/>
      <c r="J29" s="155">
        <f>SUM(J10:J26)</f>
        <v>1409075.2</v>
      </c>
      <c r="K29" s="70"/>
      <c r="L29" s="70"/>
      <c r="M29" s="70"/>
      <c r="N29" s="70"/>
      <c r="O29" s="153">
        <f>SUM(O10:O26)</f>
        <v>245636.15999999995</v>
      </c>
      <c r="P29" s="156">
        <f t="shared" ref="P29:Q29" si="42">P27</f>
        <v>35226.879999999997</v>
      </c>
      <c r="Q29" s="157">
        <f t="shared" si="42"/>
        <v>98635.26400000001</v>
      </c>
      <c r="R29" s="158"/>
      <c r="S29" s="158"/>
      <c r="T29" s="156">
        <f>SUM(R27:T27)</f>
        <v>108207.35279999999</v>
      </c>
      <c r="U29" s="156">
        <f>U27</f>
        <v>40800</v>
      </c>
      <c r="V29" s="73"/>
      <c r="W29" s="73"/>
      <c r="X29" s="73"/>
      <c r="Y29" s="73"/>
      <c r="Z29" s="73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26"/>
      <c r="AP29" s="26"/>
      <c r="CZ29" s="2">
        <v>15.38</v>
      </c>
      <c r="DA29" s="2">
        <v>0.05</v>
      </c>
      <c r="DB29" s="2">
        <f>CZ29*(1+DA29)</f>
        <v>16.149000000000001</v>
      </c>
      <c r="DJ29" s="2">
        <f>DJ27-DJ28</f>
        <v>5924</v>
      </c>
    </row>
    <row r="30" spans="1:120" ht="15" customHeight="1" x14ac:dyDescent="0.2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153"/>
      <c r="U30" s="70"/>
      <c r="V30" s="70"/>
      <c r="W30" s="70"/>
      <c r="X30" s="70"/>
      <c r="Y30" s="71"/>
      <c r="Z30" s="73"/>
      <c r="AA30" s="4"/>
      <c r="AB30" s="86"/>
      <c r="AC30" s="26"/>
      <c r="AD30" s="88"/>
      <c r="AE30" s="86"/>
      <c r="AF30" s="4"/>
      <c r="AG30" s="26"/>
      <c r="AH30" s="4"/>
      <c r="AI30" s="4"/>
      <c r="AJ30" s="118"/>
      <c r="AK30" s="118"/>
      <c r="AL30" s="119"/>
      <c r="AM30" s="119"/>
      <c r="AN30" s="119"/>
      <c r="AO30" s="26"/>
      <c r="AP30" s="26"/>
      <c r="DB30" s="86">
        <f>DB29-CZ29</f>
        <v>0.76900000000000013</v>
      </c>
    </row>
    <row r="31" spans="1:120" ht="15" customHeight="1" x14ac:dyDescent="0.2">
      <c r="A31" s="70" t="s">
        <v>201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1"/>
      <c r="Y31" s="73"/>
      <c r="Z31" s="4"/>
      <c r="AA31" s="86"/>
      <c r="AB31" s="26"/>
      <c r="AC31" s="88"/>
      <c r="AD31" s="86"/>
      <c r="AE31" s="4"/>
      <c r="AF31" s="26"/>
      <c r="AG31" s="4"/>
      <c r="AH31" s="4"/>
      <c r="AI31" s="118"/>
      <c r="AJ31" s="118"/>
      <c r="AK31" s="119"/>
      <c r="AL31" s="119"/>
      <c r="AM31" s="119"/>
      <c r="AN31" s="26"/>
      <c r="AO31" s="26"/>
    </row>
    <row r="32" spans="1:120" ht="15" customHeight="1" x14ac:dyDescent="0.2">
      <c r="A32" s="70" t="s">
        <v>202</v>
      </c>
      <c r="B32" s="70"/>
      <c r="C32" s="70">
        <v>1200</v>
      </c>
      <c r="D32" s="70"/>
      <c r="E32" s="70"/>
      <c r="F32" s="70"/>
      <c r="G32" s="70"/>
      <c r="H32" s="70"/>
      <c r="I32" s="70"/>
      <c r="J32" s="70">
        <f>C32*12</f>
        <v>14400</v>
      </c>
      <c r="K32" s="70"/>
      <c r="L32" s="70"/>
      <c r="M32" s="78">
        <f t="shared" ref="M32:M34" si="43">$M$9</f>
        <v>1022.84</v>
      </c>
      <c r="N32" s="78">
        <f>N9</f>
        <v>542.16</v>
      </c>
      <c r="O32" s="70"/>
      <c r="P32" s="70"/>
      <c r="Q32" s="70"/>
      <c r="R32" s="70"/>
      <c r="S32" s="70"/>
      <c r="T32" s="70"/>
      <c r="U32" s="2">
        <v>2400</v>
      </c>
      <c r="V32" s="70"/>
      <c r="W32" s="70"/>
      <c r="X32" s="70"/>
      <c r="Y32" s="71"/>
      <c r="Z32" s="73"/>
      <c r="AA32" s="4"/>
      <c r="AB32" s="86"/>
      <c r="AC32" s="26"/>
      <c r="AD32" s="88"/>
      <c r="AE32" s="86"/>
      <c r="AF32" s="4"/>
      <c r="AG32" s="4"/>
      <c r="AH32" s="4"/>
      <c r="AI32" s="4"/>
      <c r="AJ32" s="6"/>
      <c r="AK32" s="6"/>
      <c r="AL32" s="6"/>
      <c r="AM32" s="119"/>
      <c r="AN32" s="119"/>
      <c r="AO32" s="26"/>
      <c r="AP32" s="26"/>
    </row>
    <row r="33" spans="1:120" ht="15" customHeight="1" x14ac:dyDescent="0.2">
      <c r="A33" s="70" t="s">
        <v>203</v>
      </c>
      <c r="B33" s="70"/>
      <c r="C33" s="70">
        <v>1200</v>
      </c>
      <c r="D33" s="70"/>
      <c r="E33" s="73"/>
      <c r="F33" s="70"/>
      <c r="G33" s="70"/>
      <c r="H33" s="70"/>
      <c r="I33" s="70"/>
      <c r="J33" s="70">
        <f>C33*12</f>
        <v>14400</v>
      </c>
      <c r="K33" s="70"/>
      <c r="L33" s="70"/>
      <c r="M33" s="78">
        <f t="shared" si="43"/>
        <v>1022.84</v>
      </c>
      <c r="N33" s="78">
        <f>N9</f>
        <v>542.16</v>
      </c>
      <c r="O33" s="70"/>
      <c r="P33" s="70"/>
      <c r="Q33" s="70"/>
      <c r="R33" s="70"/>
      <c r="S33" s="70"/>
      <c r="T33" s="70"/>
      <c r="U33" s="70">
        <v>2400</v>
      </c>
      <c r="V33" s="70"/>
      <c r="W33" s="70"/>
      <c r="X33" s="70"/>
      <c r="Y33" s="70"/>
      <c r="Z33" s="70"/>
      <c r="AA33" s="4"/>
      <c r="AB33" s="4"/>
      <c r="AC33" s="4"/>
      <c r="AD33" s="4"/>
      <c r="AE33" s="4"/>
      <c r="AF33" s="4"/>
      <c r="AG33" s="26"/>
      <c r="AH33" s="4"/>
      <c r="AI33" s="4"/>
      <c r="AJ33" s="6"/>
      <c r="AK33" s="6"/>
      <c r="AL33" s="119"/>
      <c r="AM33" s="119"/>
      <c r="AN33" s="6"/>
      <c r="AP33" s="26"/>
    </row>
    <row r="34" spans="1:120" ht="15" customHeight="1" x14ac:dyDescent="0.2">
      <c r="A34" s="70" t="s">
        <v>204</v>
      </c>
      <c r="B34" s="70"/>
      <c r="C34" s="70">
        <v>1200</v>
      </c>
      <c r="D34" s="70"/>
      <c r="E34" s="73"/>
      <c r="F34" s="70"/>
      <c r="G34" s="70"/>
      <c r="H34" s="70"/>
      <c r="I34" s="70"/>
      <c r="J34" s="70">
        <f>C34*12</f>
        <v>14400</v>
      </c>
      <c r="K34" s="76">
        <f>$K$4</f>
        <v>17.8</v>
      </c>
      <c r="L34" s="76">
        <f>$L$4</f>
        <v>4</v>
      </c>
      <c r="M34" s="78">
        <f t="shared" si="43"/>
        <v>1022.84</v>
      </c>
      <c r="N34" s="78">
        <f>N9</f>
        <v>542.16</v>
      </c>
      <c r="O34" s="70"/>
      <c r="P34" s="70"/>
      <c r="Q34" s="70"/>
      <c r="R34" s="70"/>
      <c r="S34" s="70"/>
      <c r="T34" s="70"/>
      <c r="U34" s="70">
        <f>200*12</f>
        <v>2400</v>
      </c>
      <c r="V34" s="70"/>
      <c r="W34" s="70"/>
      <c r="X34" s="70"/>
      <c r="Y34" s="70"/>
      <c r="Z34" s="70"/>
      <c r="AA34" s="4"/>
      <c r="AB34" s="4"/>
      <c r="AC34" s="4"/>
      <c r="AD34" s="4"/>
      <c r="AE34" s="4"/>
      <c r="AF34" s="4"/>
      <c r="AG34" s="4"/>
      <c r="AH34" s="4"/>
      <c r="AI34" s="4"/>
      <c r="AJ34" s="6"/>
      <c r="AK34" s="6"/>
      <c r="AL34" s="6"/>
      <c r="AM34" s="6"/>
      <c r="AN34" s="6"/>
      <c r="AO34" s="86"/>
    </row>
    <row r="35" spans="1:120" ht="15" customHeight="1" x14ac:dyDescent="0.2">
      <c r="A35" s="70"/>
      <c r="B35" s="70"/>
      <c r="C35" s="70"/>
      <c r="D35" s="70"/>
      <c r="E35" s="70"/>
      <c r="F35" s="70"/>
      <c r="G35" s="70"/>
      <c r="H35" s="70"/>
      <c r="I35" s="70"/>
      <c r="K35" s="70">
        <f t="shared" ref="K35:N35" si="44">SUM(K32:K34)</f>
        <v>17.8</v>
      </c>
      <c r="L35" s="70">
        <f t="shared" si="44"/>
        <v>4</v>
      </c>
      <c r="M35" s="159">
        <f t="shared" si="44"/>
        <v>3068.52</v>
      </c>
      <c r="N35" s="159">
        <f t="shared" si="44"/>
        <v>1626.48</v>
      </c>
      <c r="O35" s="78">
        <f>(M35+N35)*12</f>
        <v>56340</v>
      </c>
      <c r="P35" s="78"/>
      <c r="Q35" s="70"/>
      <c r="R35" s="70"/>
      <c r="S35" s="70"/>
      <c r="T35" s="70"/>
      <c r="U35" s="70">
        <f>SUM(U32:U34)</f>
        <v>7200</v>
      </c>
      <c r="V35" s="70"/>
      <c r="W35" s="4"/>
      <c r="X35" s="4"/>
      <c r="Y35" s="4"/>
      <c r="Z35" s="4"/>
      <c r="AA35" s="4"/>
      <c r="AB35" s="4"/>
      <c r="AC35" s="4"/>
      <c r="AD35" s="26"/>
      <c r="AE35" s="4"/>
      <c r="AF35" s="4"/>
      <c r="AG35" s="4"/>
      <c r="AH35" s="4"/>
      <c r="AI35" s="4"/>
      <c r="AJ35" s="6"/>
      <c r="AK35" s="6"/>
      <c r="AL35" s="6"/>
      <c r="AM35" s="6"/>
      <c r="AN35" s="160"/>
    </row>
    <row r="36" spans="1:120" ht="15" customHeight="1" x14ac:dyDescent="0.2">
      <c r="A36" s="70"/>
      <c r="B36" s="70"/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161"/>
      <c r="N36" s="70"/>
      <c r="O36" s="70"/>
      <c r="P36" s="70"/>
      <c r="Q36" s="70"/>
      <c r="R36" s="70"/>
      <c r="S36" s="70"/>
      <c r="T36" s="70"/>
      <c r="U36" s="70"/>
      <c r="V36" s="70"/>
      <c r="W36" s="4"/>
      <c r="X36" s="4"/>
      <c r="Y36" s="4"/>
      <c r="Z36" s="4"/>
      <c r="AA36" s="4"/>
      <c r="AB36" s="4"/>
      <c r="AC36" s="4"/>
      <c r="AD36" s="26"/>
      <c r="AE36" s="4"/>
      <c r="AF36" s="4"/>
      <c r="AG36" s="4"/>
      <c r="AH36" s="4"/>
      <c r="AI36" s="4"/>
      <c r="AJ36" s="6"/>
      <c r="AK36" s="6"/>
      <c r="AL36" s="6"/>
      <c r="AM36" s="6"/>
      <c r="AN36" s="160"/>
    </row>
    <row r="37" spans="1:120" ht="15" customHeight="1" x14ac:dyDescent="0.2">
      <c r="A37" s="70"/>
      <c r="B37" s="70"/>
      <c r="C37" s="70"/>
      <c r="D37" s="70"/>
      <c r="E37" s="70"/>
      <c r="F37" s="70"/>
      <c r="G37" s="70"/>
      <c r="H37" s="70"/>
      <c r="I37" s="70"/>
      <c r="J37" s="162">
        <f>SUM(J32:J34)</f>
        <v>43200</v>
      </c>
      <c r="K37" s="153"/>
      <c r="L37" s="153"/>
      <c r="M37" s="163"/>
      <c r="N37" s="78"/>
      <c r="O37" s="156">
        <f>O29+O35</f>
        <v>301976.15999999992</v>
      </c>
      <c r="P37" s="156"/>
      <c r="Q37" s="70"/>
      <c r="R37" s="70"/>
      <c r="S37" s="70"/>
      <c r="T37" s="70"/>
      <c r="U37" s="164">
        <f>SUM(U10:U34)</f>
        <v>129600</v>
      </c>
      <c r="V37" s="70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6"/>
      <c r="AK37" s="6"/>
      <c r="AL37" s="6"/>
      <c r="AM37" s="6"/>
      <c r="AN37" s="6"/>
      <c r="AP37" s="26"/>
    </row>
    <row r="38" spans="1:120" ht="15" customHeight="1" x14ac:dyDescent="0.2">
      <c r="A38" s="70"/>
      <c r="B38" s="70"/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60"/>
      <c r="N38" s="70"/>
      <c r="O38" s="70"/>
      <c r="P38" s="70"/>
      <c r="Q38" s="70"/>
      <c r="R38" s="70"/>
      <c r="S38" s="70"/>
      <c r="T38" s="70"/>
      <c r="U38" s="70"/>
      <c r="V38" s="70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6"/>
      <c r="AK38" s="6"/>
      <c r="AL38" s="6"/>
      <c r="AM38" s="6"/>
      <c r="AN38" s="6"/>
    </row>
    <row r="39" spans="1:120" ht="15" customHeight="1" x14ac:dyDescent="0.2">
      <c r="A39" s="70"/>
      <c r="B39" s="70"/>
      <c r="C39" s="70"/>
      <c r="D39" s="70"/>
      <c r="E39" s="70"/>
      <c r="F39" s="70"/>
      <c r="G39" s="70"/>
      <c r="H39" s="70"/>
      <c r="I39" s="70" t="s">
        <v>205</v>
      </c>
      <c r="J39" s="63"/>
      <c r="K39" s="70"/>
      <c r="L39" s="70"/>
      <c r="M39" s="60"/>
      <c r="N39" s="70"/>
      <c r="O39" s="70"/>
      <c r="P39" s="70"/>
      <c r="Q39" s="70"/>
      <c r="R39" s="70"/>
      <c r="S39" s="70"/>
      <c r="T39" s="70"/>
      <c r="U39" s="60"/>
      <c r="V39" s="70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6"/>
      <c r="AK39" s="6"/>
      <c r="AL39" s="6"/>
      <c r="AM39" s="6"/>
      <c r="AN39" s="6"/>
    </row>
    <row r="40" spans="1:120" ht="15" customHeight="1" x14ac:dyDescent="0.2">
      <c r="A40" s="70"/>
      <c r="B40" s="70"/>
      <c r="C40" s="70"/>
      <c r="D40" s="70"/>
      <c r="E40" s="70"/>
      <c r="F40" s="70"/>
      <c r="G40" s="70"/>
      <c r="H40" s="70"/>
      <c r="I40" s="70"/>
      <c r="J40" s="63"/>
      <c r="K40" s="70"/>
      <c r="L40" s="70"/>
      <c r="M40" s="60"/>
      <c r="N40" s="70"/>
      <c r="O40" s="70"/>
      <c r="P40" s="70"/>
      <c r="Q40" s="70"/>
      <c r="R40" s="70"/>
      <c r="S40" s="70"/>
      <c r="T40" s="70"/>
      <c r="U40" s="60"/>
      <c r="V40" s="70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6"/>
      <c r="AK40" s="6"/>
      <c r="AL40" s="6"/>
      <c r="AM40" s="6"/>
      <c r="AN40" s="6"/>
    </row>
    <row r="41" spans="1:120" ht="15" customHeight="1" x14ac:dyDescent="0.2">
      <c r="A41" s="165"/>
      <c r="B41" s="70"/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70"/>
      <c r="U41" s="60"/>
      <c r="V41" s="70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6"/>
      <c r="AK41" s="6"/>
      <c r="AL41" s="6"/>
      <c r="AM41" s="6"/>
      <c r="AN41" s="6"/>
    </row>
    <row r="42" spans="1:120" ht="15" customHeight="1" x14ac:dyDescent="0.2">
      <c r="A42" s="70"/>
      <c r="B42" s="71">
        <v>37989</v>
      </c>
      <c r="C42" s="73"/>
      <c r="D42" s="73">
        <v>0</v>
      </c>
      <c r="E42" s="73">
        <f>(C42+D42)*((($D$27)/100)+1)</f>
        <v>0</v>
      </c>
      <c r="F42" s="63">
        <v>0</v>
      </c>
      <c r="G42" s="74"/>
      <c r="H42" s="73">
        <f>E42+F42</f>
        <v>0</v>
      </c>
      <c r="I42" s="70">
        <v>2080</v>
      </c>
      <c r="J42" s="63">
        <f>(E42*(((12-G42)/12))*I42)+(H42*(G42/12)*I42)</f>
        <v>0</v>
      </c>
      <c r="K42" s="76">
        <f>$K$4</f>
        <v>17.8</v>
      </c>
      <c r="L42" s="76">
        <f>$L$4</f>
        <v>4</v>
      </c>
      <c r="M42" s="78">
        <f>$M$9</f>
        <v>1022.84</v>
      </c>
      <c r="N42" s="78">
        <f>$N$9</f>
        <v>542.16</v>
      </c>
      <c r="O42" s="63">
        <f>SUM(K42:N42)*12</f>
        <v>19041.600000000002</v>
      </c>
      <c r="P42" s="63"/>
      <c r="Q42" s="63">
        <f>($Q$8)*J42</f>
        <v>0</v>
      </c>
      <c r="R42" s="63">
        <f>$R$8*J42</f>
        <v>0</v>
      </c>
      <c r="S42" s="63">
        <f>$S$8*J42</f>
        <v>0</v>
      </c>
      <c r="T42" s="63">
        <f>$T$8*9000</f>
        <v>24.3</v>
      </c>
      <c r="U42" s="70">
        <f>200*12</f>
        <v>2400</v>
      </c>
      <c r="V42" s="70"/>
      <c r="W42" s="70"/>
      <c r="X42" s="70"/>
      <c r="Y42" s="70"/>
      <c r="Z42" s="70"/>
      <c r="AA42" s="4"/>
      <c r="AB42" s="4"/>
      <c r="AC42" s="4"/>
      <c r="AD42" s="4"/>
      <c r="AE42" s="4"/>
      <c r="AF42" s="4"/>
      <c r="AG42" s="26"/>
      <c r="AH42" s="4"/>
      <c r="AI42" s="4"/>
      <c r="AJ42" s="6"/>
      <c r="AK42" s="6"/>
      <c r="AL42" s="6"/>
      <c r="AM42" s="6"/>
      <c r="AN42" s="6"/>
      <c r="AQ42" s="7"/>
      <c r="CX42" s="4" t="s">
        <v>206</v>
      </c>
      <c r="CY42" s="85">
        <v>37989</v>
      </c>
      <c r="CZ42" s="86">
        <v>23</v>
      </c>
      <c r="DA42" s="2">
        <v>0</v>
      </c>
      <c r="DB42" s="86">
        <f>(CZ42+DA42)*(1+$C$57/100)</f>
        <v>23</v>
      </c>
      <c r="DC42" s="26">
        <v>0</v>
      </c>
      <c r="DD42" s="88">
        <v>6</v>
      </c>
      <c r="DE42" s="86">
        <f>DB42+DC42</f>
        <v>23</v>
      </c>
      <c r="DF42" s="2">
        <v>2080</v>
      </c>
      <c r="DG42" s="26">
        <f>(DB42*(((12-DD42)/12))*DF42)+(DE42*(DD42/12)*DF42)</f>
        <v>47840</v>
      </c>
      <c r="DH42" s="2">
        <v>22</v>
      </c>
      <c r="DI42" s="2">
        <v>4</v>
      </c>
      <c r="DJ42" s="90" t="e">
        <f>#REF!</f>
        <v>#REF!</v>
      </c>
      <c r="DK42" s="90">
        <v>215.51</v>
      </c>
      <c r="DL42" s="26" t="e">
        <f>SUM(DH42:DK42)*12</f>
        <v>#REF!</v>
      </c>
      <c r="DM42" s="26">
        <f>($Q$43/100)*DG42</f>
        <v>0</v>
      </c>
      <c r="DN42" s="26">
        <f>$R$44*DG42</f>
        <v>0</v>
      </c>
      <c r="DO42" s="26">
        <f>$S$44*DG42</f>
        <v>0</v>
      </c>
      <c r="DP42" s="26">
        <f>$T$44*9000</f>
        <v>532.80000000000007</v>
      </c>
    </row>
    <row r="43" spans="1:120" ht="15" customHeight="1" x14ac:dyDescent="0.2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166"/>
      <c r="R43" s="60"/>
      <c r="S43" s="60"/>
      <c r="T43" s="60"/>
      <c r="U43" s="70"/>
      <c r="V43" s="70"/>
      <c r="W43" s="4"/>
      <c r="X43" s="4"/>
      <c r="Y43" s="4"/>
      <c r="Z43" s="4"/>
      <c r="AA43" s="4"/>
      <c r="AB43" s="86"/>
      <c r="AC43" s="4"/>
      <c r="AD43" s="4"/>
      <c r="AE43" s="4"/>
      <c r="AF43" s="4"/>
      <c r="AG43" s="4"/>
      <c r="AH43" s="4"/>
      <c r="AI43" s="4"/>
      <c r="AJ43" s="6"/>
      <c r="AK43" s="6"/>
      <c r="AL43" s="6"/>
      <c r="AM43" s="6"/>
      <c r="AN43" s="6"/>
    </row>
    <row r="44" spans="1:120" ht="15" customHeight="1" x14ac:dyDescent="0.2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166"/>
      <c r="R44" s="60"/>
      <c r="S44" s="60"/>
      <c r="T44" s="60">
        <v>5.9200000000000003E-2</v>
      </c>
      <c r="U44" s="63"/>
      <c r="V44" s="70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6"/>
      <c r="AK44" s="6"/>
      <c r="AL44" s="6"/>
      <c r="AM44" s="6"/>
      <c r="AN44" s="6"/>
    </row>
    <row r="45" spans="1:120" ht="15" customHeight="1" x14ac:dyDescent="0.2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70"/>
      <c r="V45" s="70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6"/>
      <c r="AK45" s="6"/>
      <c r="AL45" s="6"/>
      <c r="AM45" s="6"/>
      <c r="AN45" s="6"/>
    </row>
    <row r="46" spans="1:120" ht="15" customHeight="1" x14ac:dyDescent="0.2">
      <c r="A46" s="70"/>
      <c r="B46" s="71"/>
      <c r="C46" s="73"/>
      <c r="D46" s="70"/>
      <c r="E46" s="73"/>
      <c r="F46" s="63"/>
      <c r="G46" s="74"/>
      <c r="H46" s="73"/>
      <c r="I46" s="70"/>
      <c r="J46" s="63"/>
      <c r="K46" s="70"/>
      <c r="L46" s="70"/>
      <c r="M46" s="78"/>
      <c r="N46" s="78"/>
      <c r="O46" s="63"/>
      <c r="P46" s="63"/>
      <c r="Q46" s="63"/>
      <c r="R46" s="63"/>
      <c r="S46" s="63"/>
      <c r="T46" s="63"/>
      <c r="U46" s="70"/>
      <c r="V46" s="70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6"/>
      <c r="AK46" s="6"/>
      <c r="AL46" s="6"/>
      <c r="AM46" s="6"/>
      <c r="AN46" s="6"/>
    </row>
    <row r="47" spans="1:120" ht="15" customHeight="1" x14ac:dyDescent="0.2">
      <c r="A47" s="70"/>
      <c r="B47" s="71"/>
      <c r="C47" s="73"/>
      <c r="D47" s="70"/>
      <c r="E47" s="73"/>
      <c r="F47" s="63"/>
      <c r="G47" s="74"/>
      <c r="H47" s="73"/>
      <c r="I47" s="70"/>
      <c r="J47" s="63"/>
      <c r="K47" s="70"/>
      <c r="L47" s="70"/>
      <c r="M47" s="78"/>
      <c r="N47" s="78"/>
      <c r="O47" s="63"/>
      <c r="P47" s="63"/>
      <c r="Q47" s="63"/>
      <c r="R47" s="63"/>
      <c r="S47" s="63"/>
      <c r="T47" s="63"/>
      <c r="U47" s="70"/>
      <c r="V47" s="70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6"/>
      <c r="AK47" s="6"/>
      <c r="AL47" s="6"/>
      <c r="AM47" s="6"/>
      <c r="AN47" s="6"/>
    </row>
    <row r="48" spans="1:120" ht="15" customHeight="1" x14ac:dyDescent="0.2">
      <c r="A48" s="70"/>
      <c r="B48" s="71"/>
      <c r="C48" s="73"/>
      <c r="D48" s="70"/>
      <c r="E48" s="73"/>
      <c r="F48" s="63"/>
      <c r="G48" s="74"/>
      <c r="H48" s="73"/>
      <c r="I48" s="70"/>
      <c r="J48" s="63"/>
      <c r="K48" s="70"/>
      <c r="L48" s="70"/>
      <c r="M48" s="78"/>
      <c r="N48" s="78"/>
      <c r="O48" s="63"/>
      <c r="P48" s="63"/>
      <c r="Q48" s="63"/>
      <c r="R48" s="63"/>
      <c r="S48" s="63"/>
      <c r="T48" s="63"/>
      <c r="U48" s="70"/>
      <c r="V48" s="70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6"/>
      <c r="AK48" s="6"/>
      <c r="AL48" s="6"/>
      <c r="AM48" s="6"/>
      <c r="AN48" s="6"/>
    </row>
    <row r="49" spans="1:130" ht="15" customHeight="1" x14ac:dyDescent="0.2">
      <c r="A49" s="70"/>
      <c r="B49" s="71"/>
      <c r="C49" s="73"/>
      <c r="D49" s="70"/>
      <c r="E49" s="73"/>
      <c r="F49" s="63"/>
      <c r="G49" s="74"/>
      <c r="H49" s="73"/>
      <c r="I49" s="70"/>
      <c r="J49" s="63"/>
      <c r="K49" s="70"/>
      <c r="L49" s="70"/>
      <c r="M49" s="78"/>
      <c r="N49" s="78"/>
      <c r="O49" s="63"/>
      <c r="P49" s="63"/>
      <c r="Q49" s="63"/>
      <c r="R49" s="63"/>
      <c r="S49" s="63"/>
      <c r="T49" s="63"/>
      <c r="U49" s="70"/>
      <c r="V49" s="70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6"/>
      <c r="AK49" s="6"/>
      <c r="AL49" s="6"/>
      <c r="AM49" s="6"/>
      <c r="AN49" s="6"/>
    </row>
    <row r="50" spans="1:130" ht="15" customHeight="1" x14ac:dyDescent="0.2">
      <c r="A50" s="70"/>
      <c r="B50" s="71"/>
      <c r="C50" s="73"/>
      <c r="D50" s="70"/>
      <c r="E50" s="73"/>
      <c r="F50" s="63"/>
      <c r="G50" s="74"/>
      <c r="H50" s="73"/>
      <c r="I50" s="70"/>
      <c r="J50" s="63"/>
      <c r="K50" s="70"/>
      <c r="L50" s="70"/>
      <c r="M50" s="78"/>
      <c r="N50" s="78"/>
      <c r="O50" s="63"/>
      <c r="P50" s="63"/>
      <c r="Q50" s="63"/>
      <c r="R50" s="63"/>
      <c r="S50" s="63"/>
      <c r="T50" s="63"/>
      <c r="U50" s="70"/>
      <c r="V50" s="70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6"/>
      <c r="AK50" s="6"/>
      <c r="AL50" s="6"/>
      <c r="AM50" s="6"/>
      <c r="AN50" s="6"/>
    </row>
    <row r="51" spans="1:130" ht="15" customHeight="1" x14ac:dyDescent="0.2">
      <c r="A51" s="70"/>
      <c r="B51" s="71"/>
      <c r="C51" s="73"/>
      <c r="D51" s="70"/>
      <c r="E51" s="73"/>
      <c r="F51" s="63"/>
      <c r="G51" s="74"/>
      <c r="H51" s="73"/>
      <c r="I51" s="70"/>
      <c r="J51" s="63"/>
      <c r="K51" s="70"/>
      <c r="L51" s="70"/>
      <c r="M51" s="78"/>
      <c r="N51" s="78"/>
      <c r="O51" s="63"/>
      <c r="P51" s="63"/>
      <c r="Q51" s="63"/>
      <c r="R51" s="63"/>
      <c r="S51" s="63"/>
      <c r="T51" s="63"/>
      <c r="U51" s="70"/>
      <c r="V51" s="70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6"/>
      <c r="AK51" s="6"/>
      <c r="AL51" s="6"/>
      <c r="AM51" s="6"/>
      <c r="AN51" s="6"/>
    </row>
    <row r="52" spans="1:130" ht="15" customHeight="1" x14ac:dyDescent="0.2">
      <c r="A52" s="70"/>
      <c r="B52" s="71"/>
      <c r="C52" s="73"/>
      <c r="D52" s="70"/>
      <c r="E52" s="73"/>
      <c r="F52" s="63"/>
      <c r="G52" s="74"/>
      <c r="H52" s="73"/>
      <c r="I52" s="70"/>
      <c r="J52" s="63"/>
      <c r="K52" s="70"/>
      <c r="L52" s="70"/>
      <c r="M52" s="78"/>
      <c r="N52" s="78"/>
      <c r="O52" s="63"/>
      <c r="P52" s="63"/>
      <c r="Q52" s="63"/>
      <c r="R52" s="63"/>
      <c r="S52" s="63"/>
      <c r="T52" s="63"/>
      <c r="U52" s="70"/>
      <c r="V52" s="70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6"/>
      <c r="AK52" s="6"/>
      <c r="AL52" s="6"/>
      <c r="AM52" s="6"/>
      <c r="AN52" s="6"/>
    </row>
    <row r="53" spans="1:130" ht="15" customHeight="1" x14ac:dyDescent="0.2">
      <c r="A53" s="70"/>
      <c r="B53" s="71"/>
      <c r="C53" s="73"/>
      <c r="D53" s="70"/>
      <c r="E53" s="73"/>
      <c r="F53" s="63"/>
      <c r="G53" s="74"/>
      <c r="H53" s="73"/>
      <c r="I53" s="70"/>
      <c r="J53" s="63"/>
      <c r="K53" s="70"/>
      <c r="L53" s="70"/>
      <c r="M53" s="78"/>
      <c r="N53" s="78"/>
      <c r="O53" s="63"/>
      <c r="P53" s="63"/>
      <c r="Q53" s="63"/>
      <c r="R53" s="63"/>
      <c r="S53" s="63"/>
      <c r="T53" s="63"/>
      <c r="U53" s="70"/>
      <c r="V53" s="70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6"/>
      <c r="AK53" s="6"/>
      <c r="AL53" s="6"/>
      <c r="AM53" s="6"/>
      <c r="AN53" s="6"/>
    </row>
    <row r="54" spans="1:130" ht="15" customHeight="1" x14ac:dyDescent="0.2">
      <c r="A54" s="70"/>
      <c r="B54" s="71"/>
      <c r="C54" s="73"/>
      <c r="D54" s="70"/>
      <c r="E54" s="73"/>
      <c r="F54" s="63"/>
      <c r="G54" s="74"/>
      <c r="H54" s="73"/>
      <c r="I54" s="70"/>
      <c r="J54" s="63"/>
      <c r="K54" s="70"/>
      <c r="L54" s="70"/>
      <c r="M54" s="78"/>
      <c r="N54" s="78"/>
      <c r="O54" s="63"/>
      <c r="P54" s="63"/>
      <c r="Q54" s="63"/>
      <c r="R54" s="63"/>
      <c r="S54" s="63"/>
      <c r="T54" s="63"/>
      <c r="U54" s="70"/>
      <c r="V54" s="70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6"/>
      <c r="AK54" s="6"/>
      <c r="AL54" s="6"/>
      <c r="AM54" s="6"/>
      <c r="AN54" s="6"/>
    </row>
    <row r="55" spans="1:130" ht="15" customHeight="1" x14ac:dyDescent="0.2">
      <c r="A55" s="70"/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63"/>
      <c r="R55" s="63"/>
      <c r="S55" s="63"/>
      <c r="T55" s="63"/>
      <c r="U55" s="70"/>
      <c r="V55" s="70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6"/>
      <c r="AK55" s="6"/>
      <c r="AL55" s="6"/>
      <c r="AM55" s="6"/>
      <c r="AN55" s="6"/>
    </row>
    <row r="56" spans="1:130" ht="15" customHeight="1" x14ac:dyDescent="0.2">
      <c r="A56" s="70"/>
      <c r="B56" s="70"/>
      <c r="C56" s="70"/>
      <c r="D56" s="70"/>
      <c r="E56" s="70"/>
      <c r="F56" s="70"/>
      <c r="G56" s="70"/>
      <c r="H56" s="70"/>
      <c r="I56" s="70"/>
      <c r="J56" s="63"/>
      <c r="K56" s="70"/>
      <c r="L56" s="70"/>
      <c r="M56" s="70"/>
      <c r="N56" s="70"/>
      <c r="O56" s="63"/>
      <c r="P56" s="63"/>
      <c r="Q56" s="63"/>
      <c r="R56" s="63"/>
      <c r="S56" s="63"/>
      <c r="T56" s="63"/>
      <c r="U56" s="70"/>
      <c r="V56" s="70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6"/>
      <c r="AK56" s="6"/>
      <c r="AL56" s="6"/>
      <c r="AM56" s="6"/>
      <c r="AN56" s="6"/>
    </row>
    <row r="57" spans="1:130" ht="15" customHeight="1" x14ac:dyDescent="0.2">
      <c r="A57" s="70"/>
      <c r="B57" s="70"/>
      <c r="C57" s="70"/>
      <c r="D57" s="70"/>
      <c r="E57" s="70"/>
      <c r="F57" s="70"/>
      <c r="G57" s="63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6"/>
      <c r="AK57" s="6"/>
      <c r="AL57" s="6"/>
      <c r="AM57" s="6"/>
      <c r="AN57" s="6"/>
    </row>
    <row r="58" spans="1:130" ht="15" customHeight="1" x14ac:dyDescent="0.2">
      <c r="A58" s="70"/>
      <c r="B58" s="70"/>
      <c r="C58" s="70"/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3"/>
      <c r="T58" s="70"/>
      <c r="U58" s="70"/>
      <c r="V58" s="70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6"/>
      <c r="AK58" s="6"/>
      <c r="AL58" s="6"/>
      <c r="AM58" s="6"/>
      <c r="AN58" s="6"/>
    </row>
    <row r="59" spans="1:130" ht="15" customHeight="1" x14ac:dyDescent="0.2">
      <c r="A59" s="70"/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167"/>
      <c r="S59" s="70"/>
      <c r="T59" s="63"/>
      <c r="U59" s="70"/>
      <c r="V59" s="70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6"/>
      <c r="AK59" s="6"/>
      <c r="AL59" s="6"/>
      <c r="AM59" s="6"/>
      <c r="AN59" s="6"/>
    </row>
    <row r="60" spans="1:130" ht="15" customHeight="1" x14ac:dyDescent="0.2">
      <c r="A60" s="70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6"/>
      <c r="AK60" s="6"/>
      <c r="AL60" s="6"/>
      <c r="AM60" s="6"/>
      <c r="AN60" s="47"/>
      <c r="AO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</row>
    <row r="61" spans="1:130" ht="15" customHeight="1" x14ac:dyDescent="0.2">
      <c r="A61" s="70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7"/>
      <c r="AH61" s="7"/>
      <c r="AI61" s="7"/>
      <c r="AJ61" s="47"/>
      <c r="AK61" s="47"/>
      <c r="AL61" s="47"/>
      <c r="AM61" s="47"/>
      <c r="AN61" s="4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</row>
    <row r="62" spans="1:130" ht="15" customHeight="1" x14ac:dyDescent="0.2">
      <c r="A62" s="70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60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47"/>
      <c r="AK62" s="47"/>
      <c r="AL62" s="47"/>
      <c r="AM62" s="47"/>
      <c r="AN62" s="4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</row>
    <row r="63" spans="1:130" ht="15" customHeight="1" x14ac:dyDescent="0.2">
      <c r="A63" s="70"/>
      <c r="B63" s="70"/>
      <c r="C63" s="70"/>
      <c r="D63" s="70"/>
      <c r="E63" s="73"/>
      <c r="F63" s="70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60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47"/>
      <c r="AK63" s="47"/>
      <c r="AL63" s="47"/>
      <c r="AM63" s="47"/>
      <c r="AN63" s="4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</row>
    <row r="64" spans="1:130" ht="15" customHeight="1" x14ac:dyDescent="0.2">
      <c r="A64" s="70"/>
      <c r="B64" s="70"/>
      <c r="C64" s="70"/>
      <c r="D64" s="70"/>
      <c r="E64" s="73"/>
      <c r="F64" s="70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60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47"/>
      <c r="AK64" s="47"/>
      <c r="AL64" s="47"/>
      <c r="AM64" s="47"/>
      <c r="AN64" s="6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</row>
    <row r="65" spans="1:40" ht="15" customHeight="1" x14ac:dyDescent="0.2">
      <c r="A65" s="70"/>
      <c r="B65" s="70"/>
      <c r="C65" s="70"/>
      <c r="D65" s="70"/>
      <c r="E65" s="73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60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4"/>
      <c r="AH65" s="4"/>
      <c r="AI65" s="4"/>
      <c r="AJ65" s="6"/>
      <c r="AK65" s="6"/>
      <c r="AL65" s="6"/>
      <c r="AM65" s="6"/>
      <c r="AN65" s="6"/>
    </row>
    <row r="66" spans="1:40" ht="15" customHeight="1" x14ac:dyDescent="0.2">
      <c r="A66" s="165"/>
      <c r="B66" s="165"/>
      <c r="C66" s="165"/>
      <c r="D66" s="70"/>
      <c r="E66" s="73"/>
      <c r="F66" s="70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6"/>
      <c r="AK66" s="6"/>
      <c r="AL66" s="6"/>
      <c r="AM66" s="6"/>
      <c r="AN66" s="6"/>
    </row>
    <row r="67" spans="1:40" ht="15" customHeight="1" x14ac:dyDescent="0.2">
      <c r="A67" s="70"/>
      <c r="B67" s="70"/>
      <c r="C67" s="70"/>
      <c r="D67" s="70"/>
      <c r="E67" s="73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6"/>
      <c r="AK67" s="6"/>
      <c r="AL67" s="6"/>
      <c r="AM67" s="6"/>
      <c r="AN67" s="6"/>
    </row>
    <row r="68" spans="1:40" ht="15" customHeight="1" x14ac:dyDescent="0.2">
      <c r="A68" s="70"/>
      <c r="B68" s="70"/>
      <c r="C68" s="70"/>
      <c r="D68" s="70"/>
      <c r="E68" s="73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6"/>
      <c r="AK68" s="6"/>
      <c r="AL68" s="6"/>
      <c r="AM68" s="6"/>
      <c r="AN68" s="6"/>
    </row>
    <row r="69" spans="1:40" ht="15" customHeight="1" x14ac:dyDescent="0.2">
      <c r="A69" s="70"/>
      <c r="B69" s="70"/>
      <c r="C69" s="70"/>
      <c r="D69" s="70"/>
      <c r="E69" s="73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6"/>
      <c r="AK69" s="6"/>
      <c r="AL69" s="6"/>
      <c r="AM69" s="6"/>
      <c r="AN69" s="6"/>
    </row>
    <row r="70" spans="1:40" ht="15" customHeight="1" x14ac:dyDescent="0.2">
      <c r="A70" s="70"/>
      <c r="B70" s="70"/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6"/>
      <c r="AK70" s="6"/>
      <c r="AL70" s="6"/>
      <c r="AM70" s="6"/>
      <c r="AN70" s="6"/>
    </row>
    <row r="71" spans="1:40" ht="15" customHeight="1" x14ac:dyDescent="0.2">
      <c r="A71" s="70"/>
      <c r="B71" s="70"/>
      <c r="C71" s="70"/>
      <c r="D71" s="70"/>
      <c r="E71" s="73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6"/>
      <c r="AK71" s="6"/>
      <c r="AL71" s="6"/>
      <c r="AM71" s="6"/>
      <c r="AN71" s="6"/>
    </row>
    <row r="72" spans="1:40" ht="15" customHeight="1" x14ac:dyDescent="0.2">
      <c r="A72" s="70"/>
      <c r="B72" s="70"/>
      <c r="C72" s="70"/>
      <c r="D72" s="70"/>
      <c r="E72" s="73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6"/>
      <c r="AK72" s="6"/>
      <c r="AL72" s="6"/>
      <c r="AM72" s="6"/>
      <c r="AN72" s="6"/>
    </row>
    <row r="73" spans="1:40" ht="15" customHeight="1" x14ac:dyDescent="0.2">
      <c r="A73" s="70"/>
      <c r="B73" s="70"/>
      <c r="C73" s="70"/>
      <c r="D73" s="70"/>
      <c r="E73" s="73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6"/>
      <c r="AK73" s="6"/>
      <c r="AL73" s="6"/>
      <c r="AM73" s="6"/>
      <c r="AN73" s="6"/>
    </row>
    <row r="74" spans="1:40" ht="15" customHeight="1" x14ac:dyDescent="0.2">
      <c r="A74" s="70"/>
      <c r="B74" s="70"/>
      <c r="C74" s="70"/>
      <c r="D74" s="70"/>
      <c r="E74" s="73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6"/>
      <c r="AK74" s="6"/>
      <c r="AL74" s="6"/>
      <c r="AM74" s="6"/>
      <c r="AN74" s="6"/>
    </row>
    <row r="75" spans="1:40" ht="15" customHeight="1" x14ac:dyDescent="0.2">
      <c r="A75" s="70"/>
      <c r="B75" s="70"/>
      <c r="C75" s="70"/>
      <c r="D75" s="70"/>
      <c r="E75" s="73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6"/>
      <c r="AK75" s="6"/>
      <c r="AL75" s="6"/>
      <c r="AM75" s="6"/>
      <c r="AN75" s="6"/>
    </row>
    <row r="76" spans="1:40" ht="15" customHeight="1" x14ac:dyDescent="0.2">
      <c r="A76" s="70"/>
      <c r="B76" s="70"/>
      <c r="C76" s="70"/>
      <c r="D76" s="70"/>
      <c r="E76" s="73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70"/>
      <c r="U76" s="70"/>
      <c r="V76" s="70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6"/>
      <c r="AK76" s="6"/>
      <c r="AL76" s="6"/>
      <c r="AM76" s="6"/>
      <c r="AN76" s="6"/>
    </row>
    <row r="77" spans="1:40" ht="15" customHeight="1" x14ac:dyDescent="0.2">
      <c r="A77" s="70"/>
      <c r="B77" s="70"/>
      <c r="C77" s="70"/>
      <c r="D77" s="70"/>
      <c r="E77" s="73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0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6"/>
      <c r="AK77" s="6"/>
      <c r="AL77" s="6"/>
      <c r="AM77" s="6"/>
      <c r="AN77" s="6"/>
    </row>
    <row r="78" spans="1:40" ht="15" customHeight="1" x14ac:dyDescent="0.2">
      <c r="A78" s="70"/>
      <c r="B78" s="70"/>
      <c r="C78" s="70"/>
      <c r="D78" s="70"/>
      <c r="E78" s="73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6"/>
      <c r="AK78" s="6"/>
      <c r="AL78" s="6"/>
      <c r="AM78" s="6"/>
      <c r="AN78" s="6"/>
    </row>
    <row r="79" spans="1:40" ht="15" customHeight="1" x14ac:dyDescent="0.2">
      <c r="A79" s="70"/>
      <c r="B79" s="70"/>
      <c r="C79" s="70"/>
      <c r="D79" s="70"/>
      <c r="E79" s="73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6"/>
      <c r="AK79" s="6"/>
      <c r="AL79" s="6"/>
      <c r="AM79" s="6"/>
      <c r="AN79" s="6"/>
    </row>
    <row r="80" spans="1:40" ht="15" customHeight="1" x14ac:dyDescent="0.2">
      <c r="A80" s="70"/>
      <c r="B80" s="70"/>
      <c r="C80" s="70"/>
      <c r="D80" s="70"/>
      <c r="E80" s="73"/>
      <c r="F80" s="70"/>
      <c r="G80" s="70"/>
      <c r="H80" s="70"/>
      <c r="I80" s="70"/>
      <c r="J80" s="70"/>
      <c r="K80" s="70"/>
      <c r="L80" s="70"/>
      <c r="M80" s="70"/>
      <c r="N80" s="70"/>
      <c r="O80" s="70"/>
      <c r="P80" s="70"/>
      <c r="Q80" s="70"/>
      <c r="R80" s="70"/>
      <c r="S80" s="70"/>
      <c r="T80" s="70"/>
      <c r="U80" s="70"/>
      <c r="V80" s="70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6"/>
      <c r="AK80" s="6"/>
      <c r="AL80" s="6"/>
      <c r="AM80" s="6"/>
      <c r="AN80" s="6"/>
    </row>
    <row r="81" spans="1:40" ht="15" customHeight="1" x14ac:dyDescent="0.2">
      <c r="A81" s="70"/>
      <c r="B81" s="70"/>
      <c r="C81" s="70"/>
      <c r="D81" s="70"/>
      <c r="E81" s="73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70"/>
      <c r="U81" s="70"/>
      <c r="V81" s="70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6"/>
      <c r="AK81" s="6"/>
      <c r="AL81" s="6"/>
      <c r="AM81" s="6"/>
      <c r="AN81" s="6"/>
    </row>
    <row r="82" spans="1:40" ht="15" customHeight="1" x14ac:dyDescent="0.2">
      <c r="A82" s="70"/>
      <c r="B82" s="70"/>
      <c r="C82" s="70"/>
      <c r="D82" s="70"/>
      <c r="E82" s="73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70"/>
      <c r="U82" s="70"/>
      <c r="V82" s="70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6"/>
      <c r="AK82" s="6"/>
      <c r="AL82" s="6"/>
      <c r="AM82" s="6"/>
      <c r="AN82" s="6"/>
    </row>
    <row r="83" spans="1:40" ht="15" customHeight="1" x14ac:dyDescent="0.2">
      <c r="A83" s="70"/>
      <c r="B83" s="70"/>
      <c r="C83" s="70"/>
      <c r="D83" s="70"/>
      <c r="E83" s="73"/>
      <c r="F83" s="70"/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6"/>
      <c r="AK83" s="6"/>
      <c r="AL83" s="6"/>
      <c r="AM83" s="6"/>
      <c r="AN83" s="6"/>
    </row>
    <row r="84" spans="1:40" ht="15" customHeight="1" x14ac:dyDescent="0.2">
      <c r="A84" s="70"/>
      <c r="B84" s="70"/>
      <c r="C84" s="70"/>
      <c r="D84" s="70"/>
      <c r="E84" s="73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6"/>
      <c r="AK84" s="6"/>
      <c r="AL84" s="6"/>
      <c r="AM84" s="6"/>
      <c r="AN84" s="6"/>
    </row>
    <row r="85" spans="1:40" ht="15" customHeight="1" x14ac:dyDescent="0.2">
      <c r="A85" s="70"/>
      <c r="B85" s="70"/>
      <c r="C85" s="70"/>
      <c r="D85" s="70"/>
      <c r="E85" s="73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70"/>
      <c r="U85" s="70"/>
      <c r="V85" s="70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6"/>
      <c r="AK85" s="6"/>
      <c r="AL85" s="6"/>
      <c r="AM85" s="6"/>
      <c r="AN85" s="6"/>
    </row>
    <row r="86" spans="1:40" ht="15" customHeight="1" x14ac:dyDescent="0.2">
      <c r="A86" s="70"/>
      <c r="B86" s="70"/>
      <c r="C86" s="70"/>
      <c r="D86" s="70"/>
      <c r="E86" s="73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70"/>
      <c r="U86" s="70"/>
      <c r="V86" s="70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6"/>
      <c r="AK86" s="6"/>
      <c r="AL86" s="6"/>
      <c r="AM86" s="6"/>
      <c r="AN86" s="6"/>
    </row>
    <row r="87" spans="1:40" ht="15" customHeight="1" x14ac:dyDescent="0.2">
      <c r="A87" s="70"/>
      <c r="B87" s="70"/>
      <c r="C87" s="70"/>
      <c r="D87" s="70"/>
      <c r="E87" s="73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70"/>
      <c r="U87" s="70"/>
      <c r="V87" s="70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6"/>
      <c r="AK87" s="6"/>
      <c r="AL87" s="6"/>
      <c r="AM87" s="6"/>
      <c r="AN87" s="6"/>
    </row>
    <row r="88" spans="1:40" ht="15" customHeight="1" x14ac:dyDescent="0.2">
      <c r="A88" s="70"/>
      <c r="B88" s="70"/>
      <c r="C88" s="70"/>
      <c r="D88" s="70"/>
      <c r="E88" s="73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6"/>
      <c r="AK88" s="6"/>
      <c r="AL88" s="6"/>
      <c r="AM88" s="6"/>
      <c r="AN88" s="6"/>
    </row>
    <row r="89" spans="1:40" ht="15" customHeight="1" x14ac:dyDescent="0.2">
      <c r="A89" s="70"/>
      <c r="B89" s="70"/>
      <c r="C89" s="70"/>
      <c r="D89" s="70"/>
      <c r="E89" s="73"/>
      <c r="F89" s="70"/>
      <c r="G89" s="70"/>
      <c r="H89" s="70"/>
      <c r="I89" s="70"/>
      <c r="J89" s="70"/>
      <c r="K89" s="70"/>
      <c r="L89" s="70"/>
      <c r="M89" s="70"/>
      <c r="N89" s="70"/>
      <c r="O89" s="70"/>
      <c r="P89" s="70"/>
      <c r="Q89" s="70"/>
      <c r="R89" s="70"/>
      <c r="S89" s="70"/>
      <c r="T89" s="70"/>
      <c r="U89" s="60"/>
      <c r="V89" s="70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6"/>
      <c r="AK89" s="6"/>
      <c r="AL89" s="6"/>
      <c r="AM89" s="6"/>
      <c r="AN89" s="6"/>
    </row>
    <row r="90" spans="1:40" ht="1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26"/>
      <c r="K90" s="4"/>
      <c r="L90" s="4"/>
      <c r="M90" s="7"/>
      <c r="N90" s="4"/>
      <c r="O90" s="4"/>
      <c r="P90" s="4"/>
      <c r="Q90" s="4"/>
      <c r="R90" s="4"/>
      <c r="S90" s="4"/>
      <c r="T90" s="4"/>
      <c r="U90" s="7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6"/>
      <c r="AK90" s="6"/>
      <c r="AL90" s="6"/>
      <c r="AM90" s="6"/>
      <c r="AN90" s="6"/>
    </row>
    <row r="91" spans="1:40" ht="15" customHeight="1" x14ac:dyDescent="0.2">
      <c r="A91" s="36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7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6"/>
      <c r="AK91" s="6"/>
      <c r="AL91" s="6"/>
      <c r="AM91" s="6"/>
      <c r="AN91" s="6"/>
    </row>
    <row r="92" spans="1:40" ht="15" customHeigh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6"/>
      <c r="AK92" s="6"/>
      <c r="AL92" s="6"/>
      <c r="AM92" s="6"/>
      <c r="AN92" s="6"/>
    </row>
    <row r="93" spans="1:40" ht="15" customHeight="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52"/>
      <c r="R93" s="7"/>
      <c r="S93" s="7"/>
      <c r="T93" s="7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6"/>
      <c r="AK93" s="6"/>
      <c r="AL93" s="6"/>
      <c r="AM93" s="6"/>
      <c r="AN93" s="6"/>
    </row>
    <row r="94" spans="1:40" ht="15" customHeight="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52"/>
      <c r="R94" s="7"/>
      <c r="S94" s="7"/>
      <c r="T94" s="7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6"/>
      <c r="AK94" s="6"/>
      <c r="AL94" s="6"/>
      <c r="AM94" s="6"/>
      <c r="AN94" s="6"/>
    </row>
    <row r="95" spans="1:40" ht="15" customHeight="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6"/>
      <c r="AK95" s="6"/>
      <c r="AL95" s="6"/>
      <c r="AM95" s="6"/>
      <c r="AN95" s="6"/>
    </row>
    <row r="96" spans="1:40" ht="15" customHeight="1" x14ac:dyDescent="0.2">
      <c r="A96" s="4"/>
      <c r="B96" s="85"/>
      <c r="C96" s="86"/>
      <c r="D96" s="4"/>
      <c r="E96" s="86"/>
      <c r="F96" s="26"/>
      <c r="G96" s="88"/>
      <c r="H96" s="86"/>
      <c r="I96" s="4"/>
      <c r="J96" s="26"/>
      <c r="K96" s="4"/>
      <c r="L96" s="4"/>
      <c r="M96" s="90"/>
      <c r="N96" s="90"/>
      <c r="O96" s="26"/>
      <c r="P96" s="26"/>
      <c r="Q96" s="26"/>
      <c r="R96" s="26"/>
      <c r="S96" s="26"/>
      <c r="T96" s="26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6"/>
      <c r="AK96" s="6"/>
      <c r="AL96" s="6"/>
      <c r="AM96" s="6"/>
      <c r="AN96" s="6"/>
    </row>
    <row r="97" spans="1:130" ht="15" customHeight="1" x14ac:dyDescent="0.2">
      <c r="A97" s="4"/>
      <c r="B97" s="85"/>
      <c r="C97" s="86"/>
      <c r="D97" s="4"/>
      <c r="E97" s="86"/>
      <c r="F97" s="26"/>
      <c r="G97" s="88"/>
      <c r="H97" s="86"/>
      <c r="I97" s="4"/>
      <c r="J97" s="26"/>
      <c r="K97" s="4"/>
      <c r="L97" s="4"/>
      <c r="M97" s="90"/>
      <c r="N97" s="90"/>
      <c r="O97" s="26"/>
      <c r="P97" s="26"/>
      <c r="Q97" s="26"/>
      <c r="R97" s="26"/>
      <c r="S97" s="26"/>
      <c r="T97" s="26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6"/>
      <c r="AK97" s="6"/>
      <c r="AL97" s="6"/>
      <c r="AM97" s="6"/>
      <c r="AN97" s="6"/>
    </row>
    <row r="98" spans="1:130" ht="15" customHeight="1" x14ac:dyDescent="0.2">
      <c r="A98" s="4"/>
      <c r="B98" s="85"/>
      <c r="C98" s="86"/>
      <c r="D98" s="4"/>
      <c r="E98" s="86"/>
      <c r="F98" s="26"/>
      <c r="G98" s="88"/>
      <c r="H98" s="86"/>
      <c r="I98" s="4"/>
      <c r="J98" s="26"/>
      <c r="K98" s="4"/>
      <c r="L98" s="4"/>
      <c r="M98" s="90"/>
      <c r="N98" s="90"/>
      <c r="O98" s="26"/>
      <c r="P98" s="26"/>
      <c r="Q98" s="26"/>
      <c r="R98" s="26"/>
      <c r="S98" s="26"/>
      <c r="T98" s="26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6"/>
      <c r="AK98" s="6"/>
      <c r="AL98" s="6"/>
      <c r="AM98" s="6"/>
      <c r="AN98" s="6"/>
    </row>
    <row r="99" spans="1:130" ht="15" customHeight="1" x14ac:dyDescent="0.2">
      <c r="A99" s="4"/>
      <c r="B99" s="85"/>
      <c r="C99" s="86"/>
      <c r="D99" s="4"/>
      <c r="E99" s="86"/>
      <c r="F99" s="26"/>
      <c r="G99" s="88"/>
      <c r="H99" s="86"/>
      <c r="I99" s="4"/>
      <c r="J99" s="26"/>
      <c r="K99" s="4"/>
      <c r="L99" s="4"/>
      <c r="M99" s="90"/>
      <c r="N99" s="90"/>
      <c r="O99" s="26"/>
      <c r="P99" s="26"/>
      <c r="Q99" s="26"/>
      <c r="R99" s="26"/>
      <c r="S99" s="26"/>
      <c r="T99" s="26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6"/>
      <c r="AK99" s="6"/>
      <c r="AL99" s="6"/>
      <c r="AM99" s="6"/>
      <c r="AN99" s="6"/>
    </row>
    <row r="100" spans="1:130" ht="15" customHeight="1" x14ac:dyDescent="0.2">
      <c r="A100" s="4"/>
      <c r="B100" s="85"/>
      <c r="C100" s="86"/>
      <c r="D100" s="4"/>
      <c r="E100" s="86"/>
      <c r="F100" s="26"/>
      <c r="G100" s="88"/>
      <c r="H100" s="86"/>
      <c r="I100" s="4"/>
      <c r="J100" s="26"/>
      <c r="K100" s="4"/>
      <c r="L100" s="4"/>
      <c r="M100" s="90"/>
      <c r="N100" s="90"/>
      <c r="O100" s="26"/>
      <c r="P100" s="26"/>
      <c r="Q100" s="26"/>
      <c r="R100" s="26"/>
      <c r="S100" s="26"/>
      <c r="T100" s="26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6"/>
      <c r="AK100" s="6"/>
      <c r="AL100" s="6"/>
      <c r="AM100" s="6"/>
      <c r="AN100" s="6"/>
    </row>
    <row r="101" spans="1:130" ht="15" customHeight="1" x14ac:dyDescent="0.2">
      <c r="A101" s="4"/>
      <c r="B101" s="85"/>
      <c r="C101" s="86"/>
      <c r="D101" s="4"/>
      <c r="E101" s="86"/>
      <c r="F101" s="26"/>
      <c r="G101" s="88"/>
      <c r="H101" s="86"/>
      <c r="I101" s="4"/>
      <c r="J101" s="26"/>
      <c r="K101" s="4"/>
      <c r="L101" s="4"/>
      <c r="M101" s="90"/>
      <c r="N101" s="90"/>
      <c r="O101" s="26"/>
      <c r="P101" s="26"/>
      <c r="Q101" s="26"/>
      <c r="R101" s="26"/>
      <c r="S101" s="26"/>
      <c r="T101" s="26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6"/>
      <c r="AK101" s="6"/>
      <c r="AL101" s="6"/>
      <c r="AM101" s="6"/>
      <c r="AN101" s="6"/>
    </row>
    <row r="102" spans="1:130" ht="15" customHeight="1" x14ac:dyDescent="0.2">
      <c r="A102" s="4"/>
      <c r="B102" s="85"/>
      <c r="C102" s="86"/>
      <c r="D102" s="4"/>
      <c r="E102" s="86"/>
      <c r="F102" s="26"/>
      <c r="G102" s="88"/>
      <c r="H102" s="86"/>
      <c r="I102" s="4"/>
      <c r="J102" s="26"/>
      <c r="K102" s="4"/>
      <c r="L102" s="4"/>
      <c r="M102" s="90"/>
      <c r="N102" s="90"/>
      <c r="O102" s="26"/>
      <c r="P102" s="26"/>
      <c r="Q102" s="26"/>
      <c r="R102" s="26"/>
      <c r="S102" s="26"/>
      <c r="T102" s="26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6"/>
      <c r="AK102" s="6"/>
      <c r="AL102" s="6"/>
      <c r="AM102" s="6"/>
      <c r="AN102" s="6"/>
    </row>
    <row r="103" spans="1:130" ht="15" customHeight="1" x14ac:dyDescent="0.2">
      <c r="A103" s="4"/>
      <c r="B103" s="85"/>
      <c r="C103" s="86"/>
      <c r="D103" s="4"/>
      <c r="E103" s="86"/>
      <c r="F103" s="26"/>
      <c r="G103" s="88"/>
      <c r="H103" s="86"/>
      <c r="I103" s="4"/>
      <c r="J103" s="26"/>
      <c r="K103" s="4"/>
      <c r="L103" s="4"/>
      <c r="M103" s="90"/>
      <c r="N103" s="90"/>
      <c r="O103" s="26"/>
      <c r="P103" s="26"/>
      <c r="Q103" s="26"/>
      <c r="R103" s="26"/>
      <c r="S103" s="26"/>
      <c r="T103" s="26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6"/>
      <c r="AK103" s="6"/>
      <c r="AL103" s="6"/>
      <c r="AM103" s="6"/>
      <c r="AN103" s="6"/>
    </row>
    <row r="104" spans="1:130" ht="15" customHeight="1" x14ac:dyDescent="0.2">
      <c r="A104" s="4"/>
      <c r="B104" s="85"/>
      <c r="C104" s="86"/>
      <c r="D104" s="4"/>
      <c r="E104" s="86"/>
      <c r="F104" s="26"/>
      <c r="G104" s="88"/>
      <c r="H104" s="86"/>
      <c r="I104" s="4"/>
      <c r="J104" s="26"/>
      <c r="K104" s="4"/>
      <c r="L104" s="4"/>
      <c r="M104" s="90"/>
      <c r="N104" s="90"/>
      <c r="O104" s="26"/>
      <c r="P104" s="26"/>
      <c r="Q104" s="26"/>
      <c r="R104" s="26"/>
      <c r="S104" s="26"/>
      <c r="T104" s="26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6"/>
      <c r="AK104" s="6"/>
      <c r="AL104" s="6"/>
      <c r="AM104" s="6"/>
      <c r="AN104" s="6"/>
    </row>
    <row r="105" spans="1:130" ht="1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26"/>
      <c r="R105" s="26"/>
      <c r="S105" s="26"/>
      <c r="T105" s="26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6"/>
      <c r="AK105" s="6"/>
      <c r="AL105" s="6"/>
      <c r="AM105" s="6"/>
      <c r="AN105" s="6"/>
    </row>
    <row r="106" spans="1:130" ht="1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26"/>
      <c r="K106" s="4"/>
      <c r="L106" s="4"/>
      <c r="M106" s="4"/>
      <c r="N106" s="4"/>
      <c r="O106" s="26"/>
      <c r="P106" s="26"/>
      <c r="Q106" s="26"/>
      <c r="R106" s="26"/>
      <c r="S106" s="26"/>
      <c r="T106" s="26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6"/>
      <c r="AK106" s="6"/>
      <c r="AL106" s="6"/>
      <c r="AM106" s="6"/>
      <c r="AN106" s="6"/>
    </row>
    <row r="107" spans="1:130" ht="15" customHeight="1" x14ac:dyDescent="0.2">
      <c r="A107" s="4"/>
      <c r="B107" s="4"/>
      <c r="C107" s="4"/>
      <c r="D107" s="4"/>
      <c r="E107" s="4"/>
      <c r="F107" s="4"/>
      <c r="G107" s="26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6"/>
      <c r="AK107" s="6"/>
      <c r="AL107" s="6"/>
      <c r="AM107" s="6"/>
      <c r="AN107" s="6"/>
    </row>
    <row r="108" spans="1:130" ht="1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86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6"/>
      <c r="AK108" s="6"/>
      <c r="AL108" s="6"/>
      <c r="AM108" s="6"/>
      <c r="AN108" s="6"/>
    </row>
    <row r="109" spans="1:130" ht="1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126"/>
      <c r="S109" s="4"/>
      <c r="T109" s="26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6"/>
      <c r="AK109" s="6"/>
      <c r="AL109" s="6"/>
      <c r="AM109" s="6"/>
      <c r="AN109" s="6"/>
    </row>
    <row r="110" spans="1:130" ht="1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6"/>
      <c r="AK110" s="6"/>
      <c r="AL110" s="6"/>
      <c r="AM110" s="6"/>
      <c r="AN110" s="6"/>
    </row>
    <row r="111" spans="1:130" ht="1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6"/>
      <c r="AK111" s="6"/>
      <c r="AL111" s="6"/>
      <c r="AM111" s="6"/>
      <c r="AN111" s="6"/>
    </row>
    <row r="112" spans="1:130" ht="1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6"/>
      <c r="AK112" s="6"/>
      <c r="AL112" s="6"/>
      <c r="AM112" s="6"/>
      <c r="AN112" s="47"/>
      <c r="AO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</row>
    <row r="113" spans="1:130" ht="15" customHeight="1" x14ac:dyDescent="0.2">
      <c r="A113" s="4"/>
      <c r="B113" s="4"/>
      <c r="C113" s="4"/>
      <c r="D113" s="4"/>
      <c r="E113" s="86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7"/>
      <c r="AH113" s="7"/>
      <c r="AI113" s="7"/>
      <c r="AJ113" s="47"/>
      <c r="AK113" s="47"/>
      <c r="AL113" s="47"/>
      <c r="AM113" s="47"/>
      <c r="AN113" s="4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</row>
    <row r="114" spans="1:130" ht="15" customHeight="1" x14ac:dyDescent="0.2">
      <c r="A114" s="4"/>
      <c r="B114" s="4"/>
      <c r="C114" s="4"/>
      <c r="D114" s="4"/>
      <c r="E114" s="86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47"/>
      <c r="AK114" s="47"/>
      <c r="AL114" s="47"/>
      <c r="AM114" s="47"/>
      <c r="AN114" s="4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</row>
    <row r="115" spans="1:130" ht="15" customHeight="1" x14ac:dyDescent="0.2">
      <c r="A115" s="36"/>
      <c r="B115" s="4"/>
      <c r="C115" s="4"/>
      <c r="D115" s="4"/>
      <c r="E115" s="86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47"/>
      <c r="AK115" s="47"/>
      <c r="AL115" s="47"/>
      <c r="AM115" s="47"/>
      <c r="AN115" s="4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</row>
    <row r="116" spans="1:130" ht="1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47"/>
      <c r="AK116" s="47"/>
      <c r="AL116" s="47"/>
      <c r="AM116" s="47"/>
      <c r="AN116" s="6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</row>
    <row r="117" spans="1:130" ht="1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4"/>
      <c r="AH117" s="4"/>
      <c r="AI117" s="4"/>
      <c r="AJ117" s="6"/>
      <c r="AK117" s="6"/>
      <c r="AL117" s="6"/>
      <c r="AM117" s="6"/>
      <c r="AN117" s="6"/>
    </row>
    <row r="118" spans="1:130" ht="1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6"/>
      <c r="AK118" s="6"/>
      <c r="AL118" s="6"/>
      <c r="AM118" s="6"/>
      <c r="AN118" s="6"/>
    </row>
    <row r="119" spans="1:130" ht="15" customHeight="1" x14ac:dyDescent="0.2">
      <c r="A119" s="4"/>
      <c r="B119" s="4"/>
      <c r="C119" s="4"/>
      <c r="D119" s="4"/>
      <c r="E119" s="86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6"/>
      <c r="AK119" s="6"/>
      <c r="AL119" s="6"/>
      <c r="AM119" s="6"/>
      <c r="AN119" s="6"/>
    </row>
    <row r="120" spans="1:130" ht="15" customHeight="1" x14ac:dyDescent="0.2">
      <c r="A120" s="4"/>
      <c r="B120" s="4"/>
      <c r="C120" s="4"/>
      <c r="D120" s="4"/>
      <c r="E120" s="86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6"/>
      <c r="AK120" s="6"/>
      <c r="AL120" s="6"/>
      <c r="AM120" s="6"/>
      <c r="AN120" s="6"/>
    </row>
    <row r="121" spans="1:130" ht="15" customHeight="1" x14ac:dyDescent="0.2">
      <c r="A121" s="4"/>
      <c r="B121" s="4"/>
      <c r="C121" s="4"/>
      <c r="D121" s="4"/>
      <c r="E121" s="86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6"/>
      <c r="AK121" s="6"/>
      <c r="AL121" s="6"/>
      <c r="AM121" s="6"/>
      <c r="AN121" s="6"/>
    </row>
    <row r="122" spans="1:130" ht="15" customHeight="1" x14ac:dyDescent="0.2">
      <c r="A122" s="4"/>
      <c r="B122" s="4"/>
      <c r="C122" s="4"/>
      <c r="D122" s="4"/>
      <c r="E122" s="86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6"/>
      <c r="AK122" s="6"/>
      <c r="AL122" s="6"/>
      <c r="AM122" s="6"/>
      <c r="AN122" s="6"/>
    </row>
    <row r="123" spans="1:130" ht="15" customHeight="1" x14ac:dyDescent="0.2">
      <c r="A123" s="4"/>
      <c r="B123" s="4"/>
      <c r="C123" s="4"/>
      <c r="D123" s="4"/>
      <c r="E123" s="86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6"/>
      <c r="AK123" s="6"/>
      <c r="AL123" s="6"/>
      <c r="AM123" s="6"/>
      <c r="AN123" s="6"/>
    </row>
    <row r="124" spans="1:130" ht="15" customHeight="1" x14ac:dyDescent="0.2">
      <c r="A124" s="4"/>
      <c r="B124" s="4"/>
      <c r="C124" s="4"/>
      <c r="D124" s="4"/>
      <c r="E124" s="86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6"/>
      <c r="AK124" s="6"/>
      <c r="AL124" s="6"/>
      <c r="AM124" s="6"/>
      <c r="AN124" s="6"/>
    </row>
    <row r="125" spans="1:130" ht="15" customHeight="1" x14ac:dyDescent="0.2">
      <c r="A125" s="4"/>
      <c r="B125" s="4"/>
      <c r="C125" s="4"/>
      <c r="D125" s="4"/>
      <c r="E125" s="86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6"/>
      <c r="AK125" s="6"/>
      <c r="AL125" s="6"/>
      <c r="AM125" s="6"/>
      <c r="AN125" s="6"/>
    </row>
    <row r="126" spans="1:130" ht="15" customHeight="1" x14ac:dyDescent="0.2">
      <c r="A126" s="4"/>
      <c r="B126" s="4"/>
      <c r="C126" s="4"/>
      <c r="D126" s="4"/>
      <c r="E126" s="86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6"/>
      <c r="AK126" s="6"/>
      <c r="AL126" s="6"/>
      <c r="AM126" s="6"/>
      <c r="AN126" s="6"/>
    </row>
    <row r="127" spans="1:130" ht="15" customHeight="1" x14ac:dyDescent="0.2">
      <c r="A127" s="4"/>
      <c r="B127" s="4"/>
      <c r="C127" s="4"/>
      <c r="D127" s="4"/>
      <c r="E127" s="86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6"/>
      <c r="AK127" s="6"/>
      <c r="AL127" s="6"/>
      <c r="AM127" s="6"/>
      <c r="AN127" s="6"/>
    </row>
    <row r="128" spans="1:130" ht="15" customHeight="1" x14ac:dyDescent="0.2">
      <c r="A128" s="4"/>
      <c r="B128" s="4"/>
      <c r="C128" s="4"/>
      <c r="D128" s="4"/>
      <c r="E128" s="86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6"/>
      <c r="AK128" s="6"/>
      <c r="AL128" s="6"/>
      <c r="AM128" s="6"/>
      <c r="AN128" s="6"/>
    </row>
    <row r="129" spans="1:130" ht="1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6"/>
      <c r="AK129" s="6"/>
      <c r="AL129" s="6"/>
      <c r="AM129" s="6"/>
      <c r="AN129" s="6"/>
    </row>
    <row r="130" spans="1:130" ht="1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6"/>
      <c r="AK130" s="6"/>
      <c r="AL130" s="6"/>
      <c r="AM130" s="6"/>
      <c r="AN130" s="6"/>
    </row>
    <row r="131" spans="1:130" ht="1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6"/>
      <c r="AK131" s="6"/>
      <c r="AL131" s="6"/>
      <c r="AM131" s="6"/>
      <c r="AN131" s="6"/>
    </row>
    <row r="132" spans="1:130" ht="1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6"/>
      <c r="AK132" s="6"/>
      <c r="AL132" s="6"/>
      <c r="AM132" s="6"/>
      <c r="AN132" s="6"/>
    </row>
    <row r="133" spans="1:130" ht="1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6"/>
      <c r="AK133" s="6"/>
      <c r="AL133" s="6"/>
      <c r="AM133" s="6"/>
      <c r="AN133" s="6"/>
    </row>
    <row r="134" spans="1:130" ht="1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6"/>
      <c r="AK134" s="6"/>
      <c r="AL134" s="6"/>
      <c r="AM134" s="6"/>
      <c r="AN134" s="47"/>
      <c r="AO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  <c r="DO134" s="7"/>
      <c r="DP134" s="7"/>
      <c r="DQ134" s="7"/>
      <c r="DR134" s="7"/>
      <c r="DS134" s="7"/>
      <c r="DT134" s="7"/>
      <c r="DU134" s="7"/>
      <c r="DV134" s="7"/>
      <c r="DW134" s="7"/>
      <c r="DX134" s="7"/>
      <c r="DY134" s="7"/>
      <c r="DZ134" s="7"/>
    </row>
    <row r="135" spans="1:130" ht="1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7"/>
      <c r="AH135" s="7"/>
      <c r="AI135" s="7"/>
      <c r="AJ135" s="47"/>
      <c r="AK135" s="47"/>
      <c r="AL135" s="47"/>
      <c r="AM135" s="47"/>
      <c r="AN135" s="4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  <c r="DO135" s="7"/>
      <c r="DP135" s="7"/>
      <c r="DQ135" s="7"/>
      <c r="DR135" s="7"/>
      <c r="DS135" s="7"/>
      <c r="DT135" s="7"/>
      <c r="DU135" s="7"/>
      <c r="DV135" s="7"/>
      <c r="DW135" s="7"/>
      <c r="DX135" s="7"/>
      <c r="DY135" s="7"/>
      <c r="DZ135" s="7"/>
    </row>
    <row r="136" spans="1:130" ht="1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47"/>
      <c r="AK136" s="47"/>
      <c r="AL136" s="47"/>
      <c r="AM136" s="47"/>
      <c r="AN136" s="4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  <c r="DO136" s="7"/>
      <c r="DP136" s="7"/>
      <c r="DQ136" s="7"/>
      <c r="DR136" s="7"/>
      <c r="DS136" s="7"/>
      <c r="DT136" s="7"/>
      <c r="DU136" s="7"/>
      <c r="DV136" s="7"/>
      <c r="DW136" s="7"/>
      <c r="DX136" s="7"/>
      <c r="DY136" s="7"/>
      <c r="DZ136" s="7"/>
    </row>
    <row r="137" spans="1:130" ht="1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47"/>
      <c r="AK137" s="47"/>
      <c r="AL137" s="47"/>
      <c r="AM137" s="47"/>
      <c r="AN137" s="4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  <c r="DO137" s="7"/>
      <c r="DP137" s="7"/>
      <c r="DQ137" s="7"/>
      <c r="DR137" s="7"/>
      <c r="DS137" s="7"/>
      <c r="DT137" s="7"/>
      <c r="DU137" s="7"/>
      <c r="DV137" s="7"/>
      <c r="DW137" s="7"/>
      <c r="DX137" s="7"/>
      <c r="DY137" s="7"/>
      <c r="DZ137" s="7"/>
    </row>
    <row r="138" spans="1:130" ht="1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47"/>
      <c r="AK138" s="47"/>
      <c r="AL138" s="47"/>
      <c r="AM138" s="47"/>
      <c r="AN138" s="6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</row>
    <row r="139" spans="1:130" ht="1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4"/>
      <c r="AH139" s="4"/>
      <c r="AI139" s="4"/>
      <c r="AJ139" s="6"/>
      <c r="AK139" s="6"/>
      <c r="AL139" s="6"/>
      <c r="AM139" s="6"/>
      <c r="AN139" s="6"/>
    </row>
    <row r="140" spans="1:130" ht="1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6"/>
      <c r="AK140" s="6"/>
      <c r="AL140" s="6"/>
      <c r="AM140" s="6"/>
      <c r="AN140" s="6"/>
    </row>
    <row r="141" spans="1:130" ht="1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7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6"/>
      <c r="AK141" s="6"/>
      <c r="AL141" s="6"/>
      <c r="AM141" s="6"/>
      <c r="AN141" s="6"/>
    </row>
    <row r="142" spans="1:130" ht="1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26"/>
      <c r="K142" s="4"/>
      <c r="L142" s="4"/>
      <c r="M142" s="7"/>
      <c r="N142" s="4"/>
      <c r="O142" s="4"/>
      <c r="P142" s="4"/>
      <c r="Q142" s="4"/>
      <c r="R142" s="4"/>
      <c r="S142" s="4"/>
      <c r="T142" s="4"/>
      <c r="U142" s="7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6"/>
      <c r="AK142" s="6"/>
      <c r="AL142" s="6"/>
      <c r="AM142" s="6"/>
      <c r="AN142" s="6"/>
    </row>
    <row r="143" spans="1:130" ht="15" customHeight="1" x14ac:dyDescent="0.2">
      <c r="A143" s="36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7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6"/>
      <c r="AK143" s="6"/>
      <c r="AL143" s="6"/>
      <c r="AM143" s="6"/>
      <c r="AN143" s="6"/>
    </row>
    <row r="144" spans="1:130" ht="15" customHeigh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6"/>
      <c r="AK144" s="6"/>
      <c r="AL144" s="6"/>
      <c r="AM144" s="6"/>
      <c r="AN144" s="6"/>
    </row>
    <row r="145" spans="1:130" ht="15" customHeigh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52"/>
      <c r="R145" s="7"/>
      <c r="S145" s="7"/>
      <c r="T145" s="7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6"/>
      <c r="AK145" s="6"/>
      <c r="AL145" s="6"/>
      <c r="AM145" s="6"/>
      <c r="AN145" s="6"/>
    </row>
    <row r="146" spans="1:130" ht="15" customHeigh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52"/>
      <c r="R146" s="7"/>
      <c r="S146" s="7"/>
      <c r="T146" s="7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6"/>
      <c r="AK146" s="6"/>
      <c r="AL146" s="6"/>
      <c r="AM146" s="6"/>
      <c r="AN146" s="6"/>
    </row>
    <row r="147" spans="1:130" ht="15" customHeight="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6"/>
      <c r="AK147" s="6"/>
      <c r="AL147" s="6"/>
      <c r="AM147" s="6"/>
      <c r="AN147" s="6"/>
    </row>
    <row r="148" spans="1:130" ht="15" customHeight="1" x14ac:dyDescent="0.2">
      <c r="A148" s="4"/>
      <c r="B148" s="85"/>
      <c r="C148" s="4"/>
      <c r="D148" s="4"/>
      <c r="E148" s="86"/>
      <c r="F148" s="26"/>
      <c r="G148" s="88"/>
      <c r="H148" s="86"/>
      <c r="I148" s="4"/>
      <c r="J148" s="26"/>
      <c r="K148" s="4"/>
      <c r="L148" s="4"/>
      <c r="M148" s="90"/>
      <c r="N148" s="90"/>
      <c r="O148" s="26"/>
      <c r="P148" s="26"/>
      <c r="Q148" s="26"/>
      <c r="R148" s="26"/>
      <c r="S148" s="26"/>
      <c r="T148" s="26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6"/>
      <c r="AK148" s="6"/>
      <c r="AL148" s="6"/>
      <c r="AM148" s="6"/>
      <c r="AN148" s="6"/>
    </row>
    <row r="149" spans="1:130" ht="15" customHeight="1" x14ac:dyDescent="0.2">
      <c r="A149" s="4"/>
      <c r="B149" s="85"/>
      <c r="C149" s="4"/>
      <c r="D149" s="4"/>
      <c r="E149" s="86"/>
      <c r="F149" s="26"/>
      <c r="G149" s="88"/>
      <c r="H149" s="86"/>
      <c r="I149" s="4"/>
      <c r="J149" s="26"/>
      <c r="K149" s="4"/>
      <c r="L149" s="4"/>
      <c r="M149" s="90"/>
      <c r="N149" s="90"/>
      <c r="O149" s="26"/>
      <c r="P149" s="26"/>
      <c r="Q149" s="26"/>
      <c r="R149" s="26"/>
      <c r="S149" s="26"/>
      <c r="T149" s="26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6"/>
      <c r="AK149" s="6"/>
      <c r="AL149" s="6"/>
      <c r="AM149" s="6"/>
      <c r="AN149" s="6"/>
    </row>
    <row r="150" spans="1:130" ht="15" customHeight="1" x14ac:dyDescent="0.2">
      <c r="A150" s="4"/>
      <c r="B150" s="85"/>
      <c r="C150" s="4"/>
      <c r="D150" s="4"/>
      <c r="E150" s="86"/>
      <c r="F150" s="26"/>
      <c r="G150" s="88"/>
      <c r="H150" s="86"/>
      <c r="I150" s="4"/>
      <c r="J150" s="26"/>
      <c r="K150" s="4"/>
      <c r="L150" s="4"/>
      <c r="M150" s="90"/>
      <c r="N150" s="90"/>
      <c r="O150" s="26"/>
      <c r="P150" s="26"/>
      <c r="Q150" s="26"/>
      <c r="R150" s="26"/>
      <c r="S150" s="26"/>
      <c r="T150" s="26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6"/>
      <c r="AK150" s="6"/>
      <c r="AL150" s="6"/>
      <c r="AM150" s="6"/>
      <c r="AN150" s="6"/>
    </row>
    <row r="151" spans="1:130" ht="15" customHeight="1" x14ac:dyDescent="0.2">
      <c r="A151" s="4"/>
      <c r="B151" s="85"/>
      <c r="C151" s="4"/>
      <c r="D151" s="4"/>
      <c r="E151" s="86"/>
      <c r="F151" s="26"/>
      <c r="G151" s="88"/>
      <c r="H151" s="86"/>
      <c r="I151" s="4"/>
      <c r="J151" s="26"/>
      <c r="K151" s="4"/>
      <c r="L151" s="4"/>
      <c r="M151" s="90"/>
      <c r="N151" s="90"/>
      <c r="O151" s="26"/>
      <c r="P151" s="26"/>
      <c r="Q151" s="26"/>
      <c r="R151" s="26"/>
      <c r="S151" s="26"/>
      <c r="T151" s="26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6"/>
      <c r="AK151" s="6"/>
      <c r="AL151" s="6"/>
      <c r="AM151" s="6"/>
      <c r="AN151" s="6"/>
    </row>
    <row r="152" spans="1:130" ht="15" customHeight="1" x14ac:dyDescent="0.2">
      <c r="A152" s="4"/>
      <c r="B152" s="85"/>
      <c r="C152" s="4"/>
      <c r="D152" s="4"/>
      <c r="E152" s="86"/>
      <c r="F152" s="26"/>
      <c r="G152" s="88"/>
      <c r="H152" s="86"/>
      <c r="I152" s="4"/>
      <c r="J152" s="26"/>
      <c r="K152" s="4"/>
      <c r="L152" s="4"/>
      <c r="M152" s="90"/>
      <c r="N152" s="90"/>
      <c r="O152" s="26"/>
      <c r="P152" s="26"/>
      <c r="Q152" s="26"/>
      <c r="R152" s="26"/>
      <c r="S152" s="26"/>
      <c r="T152" s="26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6"/>
      <c r="AK152" s="6"/>
      <c r="AL152" s="6"/>
      <c r="AM152" s="6"/>
      <c r="AN152" s="6"/>
    </row>
    <row r="153" spans="1:130" ht="15" customHeight="1" x14ac:dyDescent="0.2">
      <c r="A153" s="4"/>
      <c r="B153" s="85"/>
      <c r="C153" s="4"/>
      <c r="D153" s="4"/>
      <c r="E153" s="86"/>
      <c r="F153" s="26"/>
      <c r="G153" s="88"/>
      <c r="H153" s="86"/>
      <c r="I153" s="4"/>
      <c r="J153" s="26"/>
      <c r="K153" s="4"/>
      <c r="L153" s="4"/>
      <c r="M153" s="90"/>
      <c r="N153" s="90"/>
      <c r="O153" s="26"/>
      <c r="P153" s="26"/>
      <c r="Q153" s="26"/>
      <c r="R153" s="26"/>
      <c r="S153" s="26"/>
      <c r="T153" s="26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6"/>
      <c r="AK153" s="6"/>
      <c r="AL153" s="6"/>
      <c r="AM153" s="6"/>
      <c r="AN153" s="6"/>
    </row>
    <row r="154" spans="1:130" ht="15" customHeight="1" x14ac:dyDescent="0.2">
      <c r="A154" s="4"/>
      <c r="B154" s="85"/>
      <c r="C154" s="4"/>
      <c r="D154" s="4"/>
      <c r="E154" s="86"/>
      <c r="F154" s="26"/>
      <c r="G154" s="88"/>
      <c r="H154" s="86"/>
      <c r="I154" s="4"/>
      <c r="J154" s="26"/>
      <c r="K154" s="4"/>
      <c r="L154" s="4"/>
      <c r="M154" s="90"/>
      <c r="N154" s="90"/>
      <c r="O154" s="26"/>
      <c r="P154" s="26"/>
      <c r="Q154" s="26"/>
      <c r="R154" s="26"/>
      <c r="S154" s="26"/>
      <c r="T154" s="26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6"/>
      <c r="AK154" s="6"/>
      <c r="AL154" s="6"/>
      <c r="AM154" s="6"/>
      <c r="AN154" s="6"/>
    </row>
    <row r="155" spans="1:130" ht="15" customHeight="1" x14ac:dyDescent="0.2">
      <c r="A155" s="4"/>
      <c r="B155" s="85"/>
      <c r="C155" s="4"/>
      <c r="D155" s="4"/>
      <c r="E155" s="86"/>
      <c r="F155" s="26"/>
      <c r="G155" s="88"/>
      <c r="H155" s="86"/>
      <c r="I155" s="4"/>
      <c r="J155" s="26"/>
      <c r="K155" s="4"/>
      <c r="L155" s="4"/>
      <c r="M155" s="90"/>
      <c r="N155" s="90"/>
      <c r="O155" s="26"/>
      <c r="P155" s="26"/>
      <c r="Q155" s="26"/>
      <c r="R155" s="26"/>
      <c r="S155" s="26"/>
      <c r="T155" s="26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6"/>
      <c r="AK155" s="6"/>
      <c r="AL155" s="6"/>
      <c r="AM155" s="6"/>
      <c r="AN155" s="6"/>
    </row>
    <row r="156" spans="1:130" ht="1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26"/>
      <c r="R156" s="26"/>
      <c r="S156" s="26"/>
      <c r="T156" s="26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6"/>
      <c r="AK156" s="6"/>
      <c r="AL156" s="6"/>
      <c r="AM156" s="6"/>
      <c r="AN156" s="6"/>
    </row>
    <row r="157" spans="1:130" ht="1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26"/>
      <c r="K157" s="4"/>
      <c r="L157" s="4"/>
      <c r="M157" s="4"/>
      <c r="N157" s="4"/>
      <c r="O157" s="26"/>
      <c r="P157" s="26"/>
      <c r="Q157" s="26"/>
      <c r="R157" s="26"/>
      <c r="S157" s="26"/>
      <c r="T157" s="26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6"/>
      <c r="AK157" s="6"/>
      <c r="AL157" s="6"/>
      <c r="AM157" s="6"/>
      <c r="AN157" s="47"/>
      <c r="AO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  <c r="DO157" s="7"/>
      <c r="DP157" s="7"/>
      <c r="DQ157" s="7"/>
      <c r="DR157" s="7"/>
      <c r="DS157" s="7"/>
      <c r="DT157" s="7"/>
      <c r="DU157" s="7"/>
      <c r="DV157" s="7"/>
      <c r="DW157" s="7"/>
      <c r="DX157" s="7"/>
      <c r="DY157" s="7"/>
      <c r="DZ157" s="7"/>
    </row>
    <row r="158" spans="1:130" ht="1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7"/>
      <c r="AH158" s="7"/>
      <c r="AI158" s="7"/>
      <c r="AJ158" s="47"/>
      <c r="AK158" s="47"/>
      <c r="AL158" s="47"/>
      <c r="AM158" s="47"/>
      <c r="AN158" s="4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  <c r="DO158" s="7"/>
      <c r="DP158" s="7"/>
      <c r="DQ158" s="7"/>
      <c r="DR158" s="7"/>
      <c r="DS158" s="7"/>
      <c r="DT158" s="7"/>
      <c r="DU158" s="7"/>
      <c r="DV158" s="7"/>
      <c r="DW158" s="7"/>
      <c r="DX158" s="7"/>
      <c r="DY158" s="7"/>
      <c r="DZ158" s="7"/>
    </row>
    <row r="159" spans="1:130" ht="1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86"/>
      <c r="T159" s="4"/>
      <c r="U159" s="4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47"/>
      <c r="AK159" s="47"/>
      <c r="AL159" s="47"/>
      <c r="AM159" s="47"/>
      <c r="AN159" s="4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  <c r="DO159" s="7"/>
      <c r="DP159" s="7"/>
      <c r="DQ159" s="7"/>
      <c r="DR159" s="7"/>
      <c r="DS159" s="7"/>
      <c r="DT159" s="7"/>
      <c r="DU159" s="7"/>
      <c r="DV159" s="7"/>
      <c r="DW159" s="7"/>
      <c r="DX159" s="7"/>
      <c r="DY159" s="7"/>
      <c r="DZ159" s="7"/>
    </row>
    <row r="160" spans="1:130" ht="1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26"/>
      <c r="U160" s="4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47"/>
      <c r="AK160" s="47"/>
      <c r="AL160" s="47"/>
      <c r="AM160" s="47"/>
      <c r="AN160" s="4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  <c r="DO160" s="7"/>
      <c r="DP160" s="7"/>
      <c r="DQ160" s="7"/>
      <c r="DR160" s="7"/>
      <c r="DS160" s="7"/>
      <c r="DT160" s="7"/>
      <c r="DU160" s="7"/>
      <c r="DV160" s="7"/>
      <c r="DW160" s="7"/>
      <c r="DX160" s="7"/>
      <c r="DY160" s="7"/>
      <c r="DZ160" s="7"/>
    </row>
    <row r="161" spans="1:60" ht="1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47"/>
      <c r="AK161" s="47"/>
      <c r="AL161" s="47"/>
      <c r="AM161" s="47"/>
      <c r="AN161" s="6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</row>
    <row r="162" spans="1:60" ht="1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4"/>
      <c r="AH162" s="4"/>
      <c r="AI162" s="4"/>
      <c r="AJ162" s="6"/>
      <c r="AK162" s="6"/>
      <c r="AL162" s="6"/>
      <c r="AM162" s="6"/>
      <c r="AN162" s="6"/>
    </row>
    <row r="163" spans="1:60" ht="1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7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6"/>
      <c r="AK163" s="6"/>
      <c r="AL163" s="6"/>
      <c r="AM163" s="6"/>
      <c r="AN163" s="6"/>
    </row>
    <row r="164" spans="1:60" ht="1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7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6"/>
      <c r="AK164" s="6"/>
      <c r="AL164" s="6"/>
      <c r="AM164" s="6"/>
      <c r="AN164" s="6"/>
    </row>
    <row r="165" spans="1:60" ht="15" customHeight="1" x14ac:dyDescent="0.2">
      <c r="A165" s="36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7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6"/>
      <c r="AK165" s="6"/>
      <c r="AL165" s="6"/>
      <c r="AM165" s="6"/>
      <c r="AN165" s="6"/>
    </row>
    <row r="166" spans="1:60" ht="15" customHeigh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6"/>
      <c r="AK166" s="6"/>
      <c r="AL166" s="6"/>
      <c r="AM166" s="6"/>
      <c r="AN166" s="6"/>
    </row>
    <row r="167" spans="1:60" ht="15" customHeight="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6"/>
      <c r="AK167" s="6"/>
      <c r="AL167" s="6"/>
      <c r="AM167" s="6"/>
      <c r="AN167" s="6"/>
    </row>
    <row r="168" spans="1:60" ht="15" customHeigh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6"/>
      <c r="AK168" s="6"/>
      <c r="AL168" s="6"/>
      <c r="AM168" s="6"/>
      <c r="AN168" s="6"/>
    </row>
    <row r="169" spans="1:60" ht="15" customHeight="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6"/>
      <c r="AK169" s="6"/>
      <c r="AL169" s="6"/>
      <c r="AM169" s="6"/>
      <c r="AN169" s="6"/>
    </row>
    <row r="170" spans="1:60" ht="15" customHeight="1" x14ac:dyDescent="0.2">
      <c r="A170" s="4"/>
      <c r="B170" s="4"/>
      <c r="C170" s="4"/>
      <c r="D170" s="4"/>
      <c r="E170" s="86"/>
      <c r="F170" s="26"/>
      <c r="G170" s="88"/>
      <c r="H170" s="86"/>
      <c r="I170" s="4"/>
      <c r="J170" s="26"/>
      <c r="K170" s="4"/>
      <c r="L170" s="4"/>
      <c r="M170" s="90"/>
      <c r="N170" s="90"/>
      <c r="O170" s="26"/>
      <c r="P170" s="26"/>
      <c r="Q170" s="26"/>
      <c r="R170" s="26"/>
      <c r="S170" s="26"/>
      <c r="T170" s="26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6"/>
      <c r="AK170" s="6"/>
      <c r="AL170" s="6"/>
      <c r="AM170" s="6"/>
      <c r="AN170" s="6"/>
    </row>
    <row r="171" spans="1:60" ht="15" customHeight="1" x14ac:dyDescent="0.2">
      <c r="A171" s="4"/>
      <c r="B171" s="4"/>
      <c r="C171" s="4"/>
      <c r="D171" s="4"/>
      <c r="E171" s="86"/>
      <c r="F171" s="26"/>
      <c r="G171" s="88"/>
      <c r="H171" s="86"/>
      <c r="I171" s="4"/>
      <c r="J171" s="26"/>
      <c r="K171" s="4"/>
      <c r="L171" s="4"/>
      <c r="M171" s="90"/>
      <c r="N171" s="90"/>
      <c r="O171" s="26"/>
      <c r="P171" s="26"/>
      <c r="Q171" s="26"/>
      <c r="R171" s="26"/>
      <c r="S171" s="26"/>
      <c r="T171" s="26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6"/>
      <c r="AK171" s="6"/>
      <c r="AL171" s="6"/>
      <c r="AM171" s="6"/>
      <c r="AN171" s="6"/>
    </row>
    <row r="172" spans="1:60" ht="15" customHeight="1" x14ac:dyDescent="0.2">
      <c r="A172" s="4"/>
      <c r="B172" s="85"/>
      <c r="C172" s="4"/>
      <c r="D172" s="4"/>
      <c r="E172" s="86"/>
      <c r="F172" s="26"/>
      <c r="G172" s="88"/>
      <c r="H172" s="86"/>
      <c r="I172" s="4"/>
      <c r="J172" s="26"/>
      <c r="K172" s="4"/>
      <c r="L172" s="4"/>
      <c r="M172" s="90"/>
      <c r="N172" s="90"/>
      <c r="O172" s="26"/>
      <c r="P172" s="26"/>
      <c r="Q172" s="26"/>
      <c r="R172" s="26"/>
      <c r="S172" s="26"/>
      <c r="T172" s="26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6"/>
      <c r="AK172" s="6"/>
      <c r="AL172" s="6"/>
      <c r="AM172" s="6"/>
      <c r="AN172" s="6"/>
    </row>
    <row r="173" spans="1:60" ht="15" customHeight="1" x14ac:dyDescent="0.2">
      <c r="A173" s="4"/>
      <c r="B173" s="85"/>
      <c r="C173" s="4"/>
      <c r="D173" s="4"/>
      <c r="E173" s="86"/>
      <c r="F173" s="26"/>
      <c r="G173" s="88"/>
      <c r="H173" s="86"/>
      <c r="I173" s="4"/>
      <c r="J173" s="26"/>
      <c r="K173" s="4"/>
      <c r="L173" s="4"/>
      <c r="M173" s="90"/>
      <c r="N173" s="90"/>
      <c r="O173" s="26"/>
      <c r="P173" s="26"/>
      <c r="Q173" s="26"/>
      <c r="R173" s="26"/>
      <c r="S173" s="26"/>
      <c r="T173" s="26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6"/>
      <c r="AK173" s="6"/>
      <c r="AL173" s="6"/>
      <c r="AM173" s="6"/>
      <c r="AN173" s="6"/>
    </row>
    <row r="174" spans="1:60" ht="15" customHeight="1" x14ac:dyDescent="0.2">
      <c r="A174" s="4"/>
      <c r="B174" s="85"/>
      <c r="C174" s="4"/>
      <c r="D174" s="4"/>
      <c r="E174" s="86"/>
      <c r="F174" s="26"/>
      <c r="G174" s="88"/>
      <c r="H174" s="86"/>
      <c r="I174" s="4"/>
      <c r="J174" s="26"/>
      <c r="K174" s="4"/>
      <c r="L174" s="4"/>
      <c r="M174" s="90"/>
      <c r="N174" s="90"/>
      <c r="O174" s="26"/>
      <c r="P174" s="26"/>
      <c r="Q174" s="26"/>
      <c r="R174" s="26"/>
      <c r="S174" s="26"/>
      <c r="T174" s="26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6"/>
      <c r="AK174" s="6"/>
      <c r="AL174" s="6"/>
      <c r="AM174" s="6"/>
      <c r="AN174" s="6"/>
    </row>
    <row r="175" spans="1:60" ht="15" customHeight="1" x14ac:dyDescent="0.2">
      <c r="A175" s="4"/>
      <c r="B175" s="85"/>
      <c r="C175" s="4"/>
      <c r="D175" s="4"/>
      <c r="E175" s="86"/>
      <c r="F175" s="26"/>
      <c r="G175" s="88"/>
      <c r="H175" s="86"/>
      <c r="I175" s="4"/>
      <c r="J175" s="26"/>
      <c r="K175" s="4"/>
      <c r="L175" s="4"/>
      <c r="M175" s="90"/>
      <c r="N175" s="90"/>
      <c r="O175" s="26"/>
      <c r="P175" s="26"/>
      <c r="Q175" s="26"/>
      <c r="R175" s="26"/>
      <c r="S175" s="26"/>
      <c r="T175" s="26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6"/>
      <c r="AK175" s="6"/>
      <c r="AL175" s="6"/>
      <c r="AM175" s="6"/>
      <c r="AN175" s="6"/>
    </row>
    <row r="176" spans="1:60" ht="15" customHeight="1" x14ac:dyDescent="0.2">
      <c r="A176" s="4"/>
      <c r="B176" s="4"/>
      <c r="C176" s="4"/>
      <c r="D176" s="4"/>
      <c r="E176" s="4"/>
      <c r="F176" s="26"/>
      <c r="G176" s="26"/>
      <c r="H176" s="4"/>
      <c r="I176" s="4"/>
      <c r="J176" s="26"/>
      <c r="K176" s="4"/>
      <c r="L176" s="4"/>
      <c r="M176" s="4"/>
      <c r="N176" s="4"/>
      <c r="O176" s="26"/>
      <c r="P176" s="26"/>
      <c r="Q176" s="26"/>
      <c r="R176" s="26"/>
      <c r="S176" s="26"/>
      <c r="T176" s="26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6"/>
      <c r="AK176" s="6"/>
      <c r="AL176" s="6"/>
      <c r="AM176" s="6"/>
      <c r="AN176" s="6"/>
    </row>
    <row r="177" spans="1:130" ht="15" customHeight="1" x14ac:dyDescent="0.2">
      <c r="A177" s="4"/>
      <c r="B177" s="85"/>
      <c r="C177" s="4"/>
      <c r="D177" s="4"/>
      <c r="E177" s="4"/>
      <c r="F177" s="26"/>
      <c r="G177" s="88"/>
      <c r="H177" s="86"/>
      <c r="I177" s="4"/>
      <c r="J177" s="26"/>
      <c r="K177" s="4"/>
      <c r="L177" s="4"/>
      <c r="M177" s="90"/>
      <c r="N177" s="90"/>
      <c r="O177" s="26"/>
      <c r="P177" s="26"/>
      <c r="Q177" s="26"/>
      <c r="R177" s="26"/>
      <c r="S177" s="26"/>
      <c r="T177" s="26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6"/>
      <c r="AK177" s="6"/>
      <c r="AL177" s="6"/>
      <c r="AM177" s="6"/>
      <c r="AN177" s="6"/>
    </row>
    <row r="178" spans="1:130" ht="1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26"/>
      <c r="R178" s="26"/>
      <c r="S178" s="26"/>
      <c r="T178" s="26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6"/>
      <c r="AK178" s="6"/>
      <c r="AL178" s="6"/>
      <c r="AM178" s="6"/>
      <c r="AN178" s="6"/>
    </row>
    <row r="179" spans="1:130" ht="1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26"/>
      <c r="K179" s="4"/>
      <c r="L179" s="4"/>
      <c r="M179" s="4"/>
      <c r="N179" s="4"/>
      <c r="O179" s="26"/>
      <c r="P179" s="26"/>
      <c r="Q179" s="26"/>
      <c r="R179" s="26"/>
      <c r="S179" s="26"/>
      <c r="T179" s="26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6"/>
      <c r="AK179" s="6"/>
      <c r="AL179" s="6"/>
      <c r="AM179" s="6"/>
      <c r="AN179" s="6"/>
    </row>
    <row r="180" spans="1:130" ht="1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6"/>
      <c r="AK180" s="6"/>
      <c r="AL180" s="6"/>
      <c r="AM180" s="6"/>
      <c r="AN180" s="6"/>
    </row>
    <row r="181" spans="1:130" ht="1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86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6"/>
      <c r="AK181" s="6"/>
      <c r="AL181" s="6"/>
      <c r="AM181" s="6"/>
      <c r="AN181" s="6"/>
    </row>
    <row r="182" spans="1:130" ht="1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26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6"/>
      <c r="AK182" s="6"/>
      <c r="AL182" s="6"/>
      <c r="AM182" s="6"/>
      <c r="AN182" s="47"/>
      <c r="AO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  <c r="DO182" s="7"/>
      <c r="DP182" s="7"/>
      <c r="DQ182" s="7"/>
      <c r="DR182" s="7"/>
      <c r="DS182" s="7"/>
      <c r="DT182" s="7"/>
      <c r="DU182" s="7"/>
      <c r="DV182" s="7"/>
      <c r="DW182" s="7"/>
      <c r="DX182" s="7"/>
      <c r="DY182" s="7"/>
      <c r="DZ182" s="7"/>
    </row>
    <row r="183" spans="1:130" ht="1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7"/>
      <c r="AH183" s="7"/>
      <c r="AI183" s="7"/>
      <c r="AJ183" s="47"/>
      <c r="AK183" s="47"/>
      <c r="AL183" s="47"/>
      <c r="AM183" s="47"/>
      <c r="AN183" s="4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  <c r="DO183" s="7"/>
      <c r="DP183" s="7"/>
      <c r="DQ183" s="7"/>
      <c r="DR183" s="7"/>
      <c r="DS183" s="7"/>
      <c r="DT183" s="7"/>
      <c r="DU183" s="7"/>
      <c r="DV183" s="7"/>
      <c r="DW183" s="7"/>
      <c r="DX183" s="7"/>
      <c r="DY183" s="7"/>
      <c r="DZ183" s="7"/>
    </row>
    <row r="184" spans="1:130" ht="1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47"/>
      <c r="AK184" s="47"/>
      <c r="AL184" s="47"/>
      <c r="AM184" s="47"/>
      <c r="AN184" s="4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</row>
    <row r="185" spans="1:130" ht="1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47"/>
      <c r="AK185" s="47"/>
      <c r="AL185" s="47"/>
      <c r="AM185" s="47"/>
      <c r="AN185" s="6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</row>
    <row r="186" spans="1:130" ht="1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4"/>
      <c r="AH186" s="4"/>
      <c r="AI186" s="4"/>
      <c r="AJ186" s="6"/>
      <c r="AK186" s="6"/>
      <c r="AL186" s="6"/>
      <c r="AM186" s="6"/>
      <c r="AN186" s="6"/>
    </row>
    <row r="187" spans="1:130" ht="1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7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6"/>
      <c r="AK187" s="6"/>
      <c r="AL187" s="6"/>
      <c r="AM187" s="6"/>
      <c r="AN187" s="6"/>
    </row>
    <row r="188" spans="1:130" ht="15" customHeight="1" x14ac:dyDescent="0.2">
      <c r="A188" s="3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7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6"/>
      <c r="AK188" s="6"/>
      <c r="AL188" s="6"/>
      <c r="AM188" s="6"/>
      <c r="AN188" s="6"/>
    </row>
    <row r="189" spans="1:130" ht="15" customHeight="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6"/>
      <c r="AK189" s="6"/>
      <c r="AL189" s="6"/>
      <c r="AM189" s="6"/>
      <c r="AN189" s="6"/>
    </row>
    <row r="190" spans="1:130" ht="15" customHeight="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6"/>
      <c r="AK190" s="6"/>
      <c r="AL190" s="6"/>
      <c r="AM190" s="6"/>
      <c r="AN190" s="6"/>
    </row>
    <row r="191" spans="1:130" ht="15" customHeight="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6"/>
      <c r="AK191" s="6"/>
      <c r="AL191" s="6"/>
      <c r="AM191" s="6"/>
      <c r="AN191" s="6"/>
    </row>
    <row r="192" spans="1:130" ht="15" customHeight="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6"/>
      <c r="AK192" s="6"/>
      <c r="AL192" s="6"/>
      <c r="AM192" s="6"/>
      <c r="AN192" s="6"/>
    </row>
    <row r="193" spans="1:40" ht="15" customHeight="1" x14ac:dyDescent="0.2">
      <c r="A193" s="4"/>
      <c r="B193" s="4"/>
      <c r="C193" s="4"/>
      <c r="D193" s="4"/>
      <c r="E193" s="26"/>
      <c r="F193" s="4"/>
      <c r="G193" s="4"/>
      <c r="H193" s="26"/>
      <c r="I193" s="4"/>
      <c r="J193" s="4"/>
      <c r="K193" s="90"/>
      <c r="L193" s="90"/>
      <c r="M193" s="26"/>
      <c r="N193" s="26"/>
      <c r="O193" s="26"/>
      <c r="P193" s="26"/>
      <c r="Q193" s="26"/>
      <c r="R193" s="26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6"/>
      <c r="AK193" s="6"/>
      <c r="AL193" s="6"/>
      <c r="AM193" s="6"/>
      <c r="AN193" s="6"/>
    </row>
    <row r="194" spans="1:40" ht="15" customHeight="1" x14ac:dyDescent="0.2">
      <c r="A194" s="4"/>
      <c r="B194" s="4"/>
      <c r="C194" s="4"/>
      <c r="D194" s="4"/>
      <c r="E194" s="26"/>
      <c r="F194" s="4"/>
      <c r="G194" s="4"/>
      <c r="H194" s="26"/>
      <c r="I194" s="4"/>
      <c r="J194" s="4"/>
      <c r="K194" s="90"/>
      <c r="L194" s="90"/>
      <c r="M194" s="26"/>
      <c r="N194" s="26"/>
      <c r="O194" s="26"/>
      <c r="P194" s="26"/>
      <c r="Q194" s="26"/>
      <c r="R194" s="26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6"/>
      <c r="AK194" s="6"/>
      <c r="AL194" s="6"/>
      <c r="AM194" s="6"/>
      <c r="AN194" s="6"/>
    </row>
    <row r="195" spans="1:40" ht="15" customHeight="1" x14ac:dyDescent="0.2">
      <c r="A195" s="4"/>
      <c r="B195" s="85"/>
      <c r="C195" s="4"/>
      <c r="D195" s="4"/>
      <c r="E195" s="26"/>
      <c r="F195" s="4"/>
      <c r="G195" s="4"/>
      <c r="H195" s="26"/>
      <c r="I195" s="4"/>
      <c r="J195" s="4"/>
      <c r="K195" s="90"/>
      <c r="L195" s="90"/>
      <c r="M195" s="26"/>
      <c r="N195" s="26"/>
      <c r="O195" s="26"/>
      <c r="P195" s="26"/>
      <c r="Q195" s="26"/>
      <c r="R195" s="26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6"/>
      <c r="AK195" s="6"/>
      <c r="AL195" s="6"/>
      <c r="AM195" s="6"/>
      <c r="AN195" s="6"/>
    </row>
    <row r="196" spans="1:40" ht="15" customHeight="1" x14ac:dyDescent="0.2">
      <c r="A196" s="4"/>
      <c r="B196" s="85"/>
      <c r="C196" s="4"/>
      <c r="D196" s="4"/>
      <c r="E196" s="26"/>
      <c r="F196" s="4"/>
      <c r="G196" s="4"/>
      <c r="H196" s="26"/>
      <c r="I196" s="4"/>
      <c r="J196" s="4"/>
      <c r="K196" s="90"/>
      <c r="L196" s="90"/>
      <c r="M196" s="26"/>
      <c r="N196" s="26"/>
      <c r="O196" s="26"/>
      <c r="P196" s="26"/>
      <c r="Q196" s="26"/>
      <c r="R196" s="26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6"/>
      <c r="AK196" s="6"/>
      <c r="AL196" s="6"/>
      <c r="AM196" s="6"/>
      <c r="AN196" s="6"/>
    </row>
    <row r="197" spans="1:40" ht="15" customHeight="1" x14ac:dyDescent="0.2">
      <c r="A197" s="4"/>
      <c r="B197" s="85"/>
      <c r="C197" s="4"/>
      <c r="D197" s="4"/>
      <c r="E197" s="26"/>
      <c r="F197" s="4"/>
      <c r="G197" s="4"/>
      <c r="H197" s="26"/>
      <c r="I197" s="4"/>
      <c r="J197" s="4"/>
      <c r="K197" s="90"/>
      <c r="L197" s="90"/>
      <c r="M197" s="26"/>
      <c r="N197" s="26"/>
      <c r="O197" s="26"/>
      <c r="P197" s="26"/>
      <c r="Q197" s="26"/>
      <c r="R197" s="26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6"/>
      <c r="AK197" s="6"/>
      <c r="AL197" s="6"/>
      <c r="AM197" s="6"/>
      <c r="AN197" s="6"/>
    </row>
    <row r="198" spans="1:40" ht="15" customHeight="1" x14ac:dyDescent="0.2">
      <c r="A198" s="4"/>
      <c r="B198" s="85"/>
      <c r="C198" s="4"/>
      <c r="D198" s="4"/>
      <c r="E198" s="26"/>
      <c r="F198" s="4"/>
      <c r="G198" s="4"/>
      <c r="H198" s="26"/>
      <c r="I198" s="4"/>
      <c r="J198" s="4"/>
      <c r="K198" s="90"/>
      <c r="L198" s="90"/>
      <c r="M198" s="26"/>
      <c r="N198" s="26"/>
      <c r="O198" s="26"/>
      <c r="P198" s="26"/>
      <c r="Q198" s="26"/>
      <c r="R198" s="26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6"/>
      <c r="AK198" s="6"/>
      <c r="AL198" s="6"/>
      <c r="AM198" s="6"/>
      <c r="AN198" s="6"/>
    </row>
    <row r="199" spans="1:40" ht="15" customHeight="1" x14ac:dyDescent="0.2">
      <c r="A199" s="4"/>
      <c r="B199" s="4"/>
      <c r="C199" s="4"/>
      <c r="D199" s="4"/>
      <c r="E199" s="26"/>
      <c r="F199" s="4"/>
      <c r="G199" s="4"/>
      <c r="H199" s="26"/>
      <c r="I199" s="4"/>
      <c r="J199" s="4"/>
      <c r="K199" s="90"/>
      <c r="L199" s="4"/>
      <c r="M199" s="26"/>
      <c r="N199" s="26"/>
      <c r="O199" s="26"/>
      <c r="P199" s="26"/>
      <c r="Q199" s="26"/>
      <c r="R199" s="26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6"/>
      <c r="AK199" s="6"/>
      <c r="AL199" s="6"/>
      <c r="AM199" s="6"/>
      <c r="AN199" s="6"/>
    </row>
    <row r="200" spans="1:40" ht="15" customHeight="1" x14ac:dyDescent="0.2">
      <c r="A200" s="4"/>
      <c r="B200" s="85"/>
      <c r="C200" s="4"/>
      <c r="D200" s="4"/>
      <c r="E200" s="26"/>
      <c r="F200" s="4"/>
      <c r="G200" s="4"/>
      <c r="H200" s="26"/>
      <c r="I200" s="4"/>
      <c r="J200" s="4"/>
      <c r="K200" s="90"/>
      <c r="L200" s="90"/>
      <c r="M200" s="26"/>
      <c r="N200" s="26"/>
      <c r="O200" s="26"/>
      <c r="P200" s="26"/>
      <c r="Q200" s="26"/>
      <c r="R200" s="26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6"/>
      <c r="AK200" s="6"/>
      <c r="AL200" s="6"/>
      <c r="AM200" s="6"/>
      <c r="AN200" s="6"/>
    </row>
    <row r="201" spans="1:40" ht="1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26"/>
      <c r="O201" s="26"/>
      <c r="P201" s="26"/>
      <c r="Q201" s="26"/>
      <c r="R201" s="26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6"/>
      <c r="AK201" s="6"/>
      <c r="AL201" s="6"/>
      <c r="AM201" s="6"/>
      <c r="AN201" s="6"/>
    </row>
    <row r="202" spans="1:40" ht="15" customHeight="1" x14ac:dyDescent="0.2">
      <c r="A202" s="4"/>
      <c r="B202" s="4"/>
      <c r="C202" s="4"/>
      <c r="D202" s="4"/>
      <c r="E202" s="4"/>
      <c r="F202" s="4"/>
      <c r="G202" s="4"/>
      <c r="H202" s="26"/>
      <c r="I202" s="4"/>
      <c r="J202" s="4"/>
      <c r="K202" s="4"/>
      <c r="L202" s="4"/>
      <c r="M202" s="26"/>
      <c r="N202" s="26"/>
      <c r="O202" s="26"/>
      <c r="P202" s="26"/>
      <c r="Q202" s="26"/>
      <c r="R202" s="26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6"/>
      <c r="AK202" s="6"/>
      <c r="AL202" s="6"/>
      <c r="AM202" s="6"/>
      <c r="AN202" s="6"/>
    </row>
    <row r="203" spans="1:40" ht="1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6"/>
      <c r="AK203" s="6"/>
      <c r="AL203" s="6"/>
      <c r="AM203" s="6"/>
      <c r="AN203" s="6"/>
    </row>
    <row r="204" spans="1:40" ht="1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86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6"/>
      <c r="AK204" s="6"/>
      <c r="AL204" s="6"/>
      <c r="AM204" s="6"/>
      <c r="AN204" s="6"/>
    </row>
    <row r="205" spans="1:40" ht="1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26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6"/>
      <c r="AK205" s="6"/>
      <c r="AL205" s="6"/>
      <c r="AM205" s="6"/>
      <c r="AN205" s="6"/>
    </row>
    <row r="206" spans="1:40" ht="1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6"/>
      <c r="AK206" s="6"/>
      <c r="AL206" s="6"/>
      <c r="AM206" s="6"/>
      <c r="AN206" s="6"/>
    </row>
    <row r="207" spans="1:40" ht="1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6"/>
      <c r="AK207" s="6"/>
      <c r="AL207" s="6"/>
      <c r="AM207" s="6"/>
      <c r="AN207" s="6"/>
    </row>
    <row r="208" spans="1:40" ht="1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6"/>
      <c r="AK208" s="6"/>
      <c r="AL208" s="6"/>
      <c r="AM208" s="6"/>
      <c r="AN208" s="6"/>
    </row>
    <row r="209" spans="1:40" ht="1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6"/>
      <c r="AK209" s="6"/>
      <c r="AL209" s="6"/>
      <c r="AM209" s="6"/>
      <c r="AN209" s="6"/>
    </row>
    <row r="210" spans="1:40" ht="1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6"/>
      <c r="AK210" s="6"/>
      <c r="AL210" s="6"/>
      <c r="AM210" s="6"/>
      <c r="AN210" s="6"/>
    </row>
    <row r="211" spans="1:40" ht="1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7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6"/>
      <c r="AK211" s="6"/>
      <c r="AL211" s="6"/>
      <c r="AM211" s="6"/>
      <c r="AN211" s="6"/>
    </row>
    <row r="212" spans="1:40" ht="15" customHeight="1" x14ac:dyDescent="0.2">
      <c r="A212" s="36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7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6"/>
      <c r="AK212" s="6"/>
      <c r="AL212" s="6"/>
      <c r="AM212" s="6"/>
      <c r="AN212" s="6"/>
    </row>
    <row r="213" spans="1:40" ht="1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7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6"/>
      <c r="AK213" s="6"/>
      <c r="AL213" s="6"/>
      <c r="AM213" s="6"/>
      <c r="AN213" s="6"/>
    </row>
    <row r="214" spans="1:40" ht="15" customHeight="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86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6"/>
      <c r="AK214" s="6"/>
      <c r="AL214" s="6"/>
      <c r="AM214" s="6"/>
      <c r="AN214" s="6"/>
    </row>
    <row r="215" spans="1:40" ht="15" customHeight="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86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6"/>
      <c r="AK215" s="6"/>
      <c r="AL215" s="6"/>
      <c r="AM215" s="6"/>
      <c r="AN215" s="6"/>
    </row>
    <row r="216" spans="1:40" ht="15" customHeigh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86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6"/>
      <c r="AK216" s="6"/>
      <c r="AL216" s="6"/>
      <c r="AM216" s="6"/>
      <c r="AN216" s="6"/>
    </row>
    <row r="217" spans="1:40" ht="1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86"/>
      <c r="U217" s="86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6"/>
      <c r="AK217" s="6"/>
      <c r="AL217" s="6"/>
      <c r="AM217" s="6"/>
      <c r="AN217" s="6"/>
    </row>
    <row r="218" spans="1:40" ht="1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86"/>
      <c r="U218" s="86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6"/>
      <c r="AK218" s="6"/>
      <c r="AL218" s="6"/>
      <c r="AM218" s="6"/>
      <c r="AN218" s="6"/>
    </row>
    <row r="219" spans="1:40" ht="15" customHeight="1" x14ac:dyDescent="0.2">
      <c r="A219" s="4"/>
      <c r="B219" s="85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86"/>
      <c r="U219" s="86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6"/>
      <c r="AK219" s="6"/>
      <c r="AL219" s="6"/>
      <c r="AM219" s="6"/>
      <c r="AN219" s="6"/>
    </row>
    <row r="220" spans="1:40" ht="15" customHeight="1" x14ac:dyDescent="0.2">
      <c r="A220" s="4"/>
      <c r="B220" s="85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86"/>
      <c r="U220" s="86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6"/>
      <c r="AK220" s="6"/>
      <c r="AL220" s="6"/>
      <c r="AM220" s="6"/>
      <c r="AN220" s="6"/>
    </row>
    <row r="221" spans="1:40" ht="15" customHeight="1" x14ac:dyDescent="0.2">
      <c r="A221" s="4"/>
      <c r="B221" s="85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86"/>
      <c r="U221" s="86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6"/>
      <c r="AK221" s="6"/>
      <c r="AL221" s="6"/>
      <c r="AM221" s="6"/>
      <c r="AN221" s="6"/>
    </row>
    <row r="222" spans="1:40" ht="15" customHeight="1" x14ac:dyDescent="0.2">
      <c r="A222" s="4"/>
      <c r="B222" s="85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86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6"/>
      <c r="AK222" s="6"/>
      <c r="AL222" s="6"/>
      <c r="AM222" s="6"/>
      <c r="AN222" s="6"/>
    </row>
    <row r="223" spans="1:40" ht="1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86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6"/>
      <c r="AK223" s="6"/>
      <c r="AL223" s="6"/>
      <c r="AM223" s="6"/>
      <c r="AN223" s="6"/>
    </row>
    <row r="224" spans="1:40" ht="1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86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6"/>
      <c r="AK224" s="6"/>
      <c r="AL224" s="6"/>
      <c r="AM224" s="6"/>
      <c r="AN224" s="6"/>
    </row>
    <row r="225" spans="1:39" ht="1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6"/>
      <c r="AK225" s="6"/>
      <c r="AL225" s="6"/>
      <c r="AM225" s="6"/>
    </row>
    <row r="226" spans="1:39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</row>
    <row r="227" spans="1:39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</row>
    <row r="228" spans="1:39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</row>
    <row r="229" spans="1:39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</row>
    <row r="230" spans="1:39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</row>
    <row r="231" spans="1:39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</row>
    <row r="232" spans="1:39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</row>
    <row r="233" spans="1:39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</row>
    <row r="234" spans="1:39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</row>
    <row r="235" spans="1:39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</row>
    <row r="236" spans="1:39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</row>
    <row r="237" spans="1:39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</row>
    <row r="238" spans="1:39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</row>
    <row r="239" spans="1:39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</row>
    <row r="240" spans="1:39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</row>
    <row r="241" spans="1:35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</row>
    <row r="242" spans="1:35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</row>
    <row r="243" spans="1:35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</row>
    <row r="244" spans="1:35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</row>
  </sheetData>
  <mergeCells count="1">
    <mergeCell ref="Q4:U4"/>
  </mergeCells>
  <pageMargins left="0.7" right="0.7" top="0.75" bottom="0.75" header="0" footer="0"/>
  <pageSetup orientation="landscape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sqref="A1:G1"/>
    </sheetView>
  </sheetViews>
  <sheetFormatPr defaultColWidth="12.5703125" defaultRowHeight="15" customHeight="1" x14ac:dyDescent="0.2"/>
  <cols>
    <col min="1" max="1" width="11.28515625" customWidth="1"/>
    <col min="2" max="2" width="21.140625" customWidth="1"/>
    <col min="3" max="3" width="11.5703125" customWidth="1"/>
    <col min="4" max="4" width="23.5703125" customWidth="1"/>
    <col min="5" max="5" width="22.5703125" customWidth="1"/>
    <col min="6" max="6" width="32.28515625" customWidth="1"/>
    <col min="7" max="7" width="21.5703125" customWidth="1"/>
    <col min="8" max="8" width="9.140625" customWidth="1"/>
    <col min="9" max="26" width="8" customWidth="1"/>
  </cols>
  <sheetData>
    <row r="1" spans="1:26" ht="18" customHeight="1" x14ac:dyDescent="0.25">
      <c r="A1" s="183" t="s">
        <v>11</v>
      </c>
      <c r="B1" s="184"/>
      <c r="C1" s="184"/>
      <c r="D1" s="184"/>
      <c r="E1" s="184"/>
      <c r="F1" s="184"/>
      <c r="G1" s="18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" customHeight="1" x14ac:dyDescent="0.25">
      <c r="A2" s="24"/>
      <c r="B2" s="24"/>
      <c r="C2" s="24"/>
      <c r="D2" s="24"/>
      <c r="E2" s="27"/>
      <c r="F2" s="24"/>
      <c r="G2" s="2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63.75" customHeight="1" x14ac:dyDescent="0.2">
      <c r="A3" s="34" t="s">
        <v>21</v>
      </c>
      <c r="B3" s="35" t="s">
        <v>23</v>
      </c>
      <c r="C3" s="35" t="s">
        <v>25</v>
      </c>
      <c r="D3" s="35" t="s">
        <v>27</v>
      </c>
      <c r="E3" s="35" t="s">
        <v>28</v>
      </c>
      <c r="F3" s="35" t="s">
        <v>30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 x14ac:dyDescent="0.2">
      <c r="A4" s="43">
        <f>E16</f>
        <v>319.49</v>
      </c>
      <c r="B4" s="45">
        <v>0</v>
      </c>
      <c r="C4" s="43">
        <f>SUM(A4*1)</f>
        <v>319.49</v>
      </c>
      <c r="D4" s="48">
        <f t="shared" ref="D4:D13" si="0">(C4/$E$17)*100</f>
        <v>0.10601183918877667</v>
      </c>
      <c r="E4" s="49">
        <f>E21</f>
        <v>4388308275</v>
      </c>
      <c r="F4" s="49">
        <f t="shared" ref="F4:F13" si="1">SUM(D4*E4/100)</f>
        <v>4652126.3116007792</v>
      </c>
      <c r="G4" s="50" t="s">
        <v>48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2">
      <c r="A5" s="43">
        <f>E16</f>
        <v>319.49</v>
      </c>
      <c r="B5" s="53">
        <v>0.01</v>
      </c>
      <c r="C5" s="43">
        <f>SUM(A5*1.01)</f>
        <v>322.68490000000003</v>
      </c>
      <c r="D5" s="48">
        <f t="shared" si="0"/>
        <v>0.10707195758066444</v>
      </c>
      <c r="E5" s="49">
        <f>E21</f>
        <v>4388308275</v>
      </c>
      <c r="F5" s="49">
        <f t="shared" si="1"/>
        <v>4698647.5747167878</v>
      </c>
      <c r="G5" s="36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 x14ac:dyDescent="0.2">
      <c r="A6" s="43">
        <f>E16</f>
        <v>319.49</v>
      </c>
      <c r="B6" s="41">
        <v>0.02</v>
      </c>
      <c r="C6" s="43">
        <f>SUM(A6*1.02)</f>
        <v>325.87979999999999</v>
      </c>
      <c r="D6" s="48">
        <f t="shared" si="0"/>
        <v>0.10813207597255219</v>
      </c>
      <c r="E6" s="49">
        <f>SUM(E21)</f>
        <v>4388308275</v>
      </c>
      <c r="F6" s="49">
        <f t="shared" si="1"/>
        <v>4745168.8378327945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 x14ac:dyDescent="0.2">
      <c r="A7" s="43">
        <f>E16</f>
        <v>319.49</v>
      </c>
      <c r="B7" s="41">
        <v>0.03</v>
      </c>
      <c r="C7" s="43">
        <f>SUM(A7*1.03)</f>
        <v>329.07470000000001</v>
      </c>
      <c r="D7" s="48">
        <f t="shared" si="0"/>
        <v>0.10919219436443997</v>
      </c>
      <c r="E7" s="49">
        <f>E21</f>
        <v>4388308275</v>
      </c>
      <c r="F7" s="49">
        <f t="shared" si="1"/>
        <v>4791690.1009488031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 x14ac:dyDescent="0.2">
      <c r="A8" s="43">
        <f>E16</f>
        <v>319.49</v>
      </c>
      <c r="B8" s="41">
        <v>3.5000000000000003E-2</v>
      </c>
      <c r="C8" s="43">
        <f>SUM(A8*1.035)</f>
        <v>330.67214999999999</v>
      </c>
      <c r="D8" s="48">
        <f t="shared" si="0"/>
        <v>0.10972225356038383</v>
      </c>
      <c r="E8" s="49">
        <f>E21</f>
        <v>4388308275</v>
      </c>
      <c r="F8" s="49">
        <f t="shared" si="1"/>
        <v>4814950.732506806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 customHeight="1" x14ac:dyDescent="0.2">
      <c r="A9" s="62">
        <f>E16</f>
        <v>319.49</v>
      </c>
      <c r="B9" s="64">
        <v>0.04</v>
      </c>
      <c r="C9" s="62">
        <f>SUM(A9*1.04)</f>
        <v>332.26960000000003</v>
      </c>
      <c r="D9" s="65">
        <f t="shared" si="0"/>
        <v>0.11025231275632774</v>
      </c>
      <c r="E9" s="66">
        <f>SUM(E21)</f>
        <v>4388308275</v>
      </c>
      <c r="F9" s="66">
        <f t="shared" si="1"/>
        <v>4838211.3640648108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.75" customHeight="1" x14ac:dyDescent="0.2">
      <c r="A10" s="62">
        <f>E16</f>
        <v>319.49</v>
      </c>
      <c r="B10" s="64">
        <v>0.05</v>
      </c>
      <c r="C10" s="62">
        <f>SUM(A10*1.05)</f>
        <v>335.46450000000004</v>
      </c>
      <c r="D10" s="65">
        <f t="shared" si="0"/>
        <v>0.1113124311482155</v>
      </c>
      <c r="E10" s="66">
        <f>E21</f>
        <v>4388308275</v>
      </c>
      <c r="F10" s="66">
        <f t="shared" si="1"/>
        <v>4884732.6271808185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.75" customHeight="1" x14ac:dyDescent="0.2">
      <c r="A11" s="62">
        <f>E16</f>
        <v>319.49</v>
      </c>
      <c r="B11" s="64">
        <v>0.06</v>
      </c>
      <c r="C11" s="62">
        <f>SUM(A11*1.06)</f>
        <v>338.65940000000001</v>
      </c>
      <c r="D11" s="65">
        <f t="shared" si="0"/>
        <v>0.11237254954010326</v>
      </c>
      <c r="E11" s="66">
        <f>SUM(E21)</f>
        <v>4388308275</v>
      </c>
      <c r="F11" s="66">
        <f t="shared" si="1"/>
        <v>4931253.8902968261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 x14ac:dyDescent="0.2">
      <c r="A12" s="62">
        <f>E16</f>
        <v>319.49</v>
      </c>
      <c r="B12" s="64">
        <v>7.0000000000000007E-2</v>
      </c>
      <c r="C12" s="62">
        <f>SUM(A12*1.07)</f>
        <v>341.85430000000002</v>
      </c>
      <c r="D12" s="65">
        <f t="shared" si="0"/>
        <v>0.11343266793199104</v>
      </c>
      <c r="E12" s="66">
        <f>E21</f>
        <v>4388308275</v>
      </c>
      <c r="F12" s="66">
        <f t="shared" si="1"/>
        <v>4977775.1534128347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 x14ac:dyDescent="0.2">
      <c r="A13" s="62">
        <f>E16</f>
        <v>319.49</v>
      </c>
      <c r="B13" s="64">
        <v>0.08</v>
      </c>
      <c r="C13" s="62">
        <f>SUM(A13*1.08)</f>
        <v>345.04920000000004</v>
      </c>
      <c r="D13" s="65">
        <f t="shared" si="0"/>
        <v>0.11449278632387883</v>
      </c>
      <c r="E13" s="66">
        <f>SUM(E21)</f>
        <v>4388308275</v>
      </c>
      <c r="F13" s="66">
        <f t="shared" si="1"/>
        <v>5024296.4165288433</v>
      </c>
      <c r="G13" s="50" t="s">
        <v>84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 x14ac:dyDescent="0.2">
      <c r="A14" s="4"/>
      <c r="B14" s="186"/>
      <c r="C14" s="178"/>
      <c r="D14" s="80"/>
      <c r="E14" s="49"/>
      <c r="F14" s="4"/>
      <c r="G14" s="4" t="s">
        <v>87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2">
      <c r="A15" s="4"/>
      <c r="B15" s="4"/>
      <c r="C15" s="81"/>
      <c r="D15" s="4"/>
      <c r="E15" s="49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2">
      <c r="A16" s="4"/>
      <c r="B16" s="4"/>
      <c r="C16" s="36"/>
      <c r="D16" s="83" t="s">
        <v>89</v>
      </c>
      <c r="E16" s="84">
        <v>319.49</v>
      </c>
      <c r="F16" s="36"/>
      <c r="G16" s="4" t="s">
        <v>90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2">
      <c r="A17" s="4"/>
      <c r="B17" s="4"/>
      <c r="C17" s="43"/>
      <c r="D17" s="83" t="s">
        <v>92</v>
      </c>
      <c r="E17" s="89">
        <v>301372</v>
      </c>
      <c r="F17" s="91"/>
      <c r="G17" s="4" t="s">
        <v>94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2">
      <c r="A18" s="4"/>
      <c r="B18" s="4"/>
      <c r="C18" s="43"/>
      <c r="D18" s="49"/>
      <c r="E18" s="91"/>
      <c r="F18" s="9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3.5" customHeight="1" x14ac:dyDescent="0.2">
      <c r="A19" s="4"/>
      <c r="B19" s="4"/>
      <c r="C19" s="43"/>
      <c r="D19" s="49"/>
      <c r="E19" s="91"/>
      <c r="F19" s="9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2">
      <c r="A20" s="36"/>
      <c r="B20" s="93"/>
      <c r="C20" s="94"/>
      <c r="D20" s="95" t="s">
        <v>160</v>
      </c>
      <c r="E20" s="95" t="s">
        <v>28</v>
      </c>
      <c r="F20" s="96" t="s">
        <v>99</v>
      </c>
      <c r="G20" s="4" t="s">
        <v>161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2">
      <c r="A21" s="36"/>
      <c r="B21" s="97"/>
      <c r="C21" s="98" t="s">
        <v>100</v>
      </c>
      <c r="D21" s="99">
        <v>4345751</v>
      </c>
      <c r="E21" s="27">
        <v>4388308275</v>
      </c>
      <c r="F21" s="100">
        <f>SUM(D21/E21*100)</f>
        <v>9.9030212274683463E-2</v>
      </c>
      <c r="G21" s="36" t="s">
        <v>104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">
      <c r="A22" s="4"/>
      <c r="B22" s="101"/>
      <c r="C22" s="102" t="s">
        <v>169</v>
      </c>
      <c r="D22" s="103">
        <f>F28</f>
        <v>4345678.3661930403</v>
      </c>
      <c r="E22" s="4"/>
      <c r="F22" s="104"/>
      <c r="G22" s="102"/>
      <c r="H22" s="36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">
      <c r="A23" s="36"/>
      <c r="B23" s="101"/>
      <c r="C23" s="102" t="s">
        <v>107</v>
      </c>
      <c r="D23" s="105">
        <f>SUM(D21-D22)</f>
        <v>72.633806959725916</v>
      </c>
      <c r="E23" s="4"/>
      <c r="F23" s="106"/>
      <c r="G23" s="102"/>
      <c r="H23" s="36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 x14ac:dyDescent="0.2">
      <c r="A24" s="4"/>
      <c r="B24" s="107"/>
      <c r="C24" s="108"/>
      <c r="D24" s="108"/>
      <c r="E24" s="108"/>
      <c r="F24" s="10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 x14ac:dyDescent="0.2">
      <c r="A25" s="4"/>
      <c r="B25" s="36"/>
      <c r="C25" s="4"/>
      <c r="D25" s="36"/>
      <c r="E25" s="36"/>
      <c r="F25" s="36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2">
      <c r="A26" s="4"/>
      <c r="B26" s="110"/>
      <c r="C26" s="94"/>
      <c r="D26" s="187" t="s">
        <v>183</v>
      </c>
      <c r="E26" s="188"/>
      <c r="F26" s="18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2">
      <c r="A27" s="4"/>
      <c r="B27" s="111"/>
      <c r="C27" s="4"/>
      <c r="D27" s="112" t="s">
        <v>188</v>
      </c>
      <c r="E27" s="113" t="s">
        <v>189</v>
      </c>
      <c r="F27" s="114" t="s">
        <v>105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2">
      <c r="A28" s="4"/>
      <c r="B28" s="111"/>
      <c r="C28" s="4"/>
      <c r="D28" s="27">
        <v>4007006202</v>
      </c>
      <c r="E28" s="115">
        <v>0.10845200000000001</v>
      </c>
      <c r="F28" s="116">
        <f>SUM(D28*E28/100)</f>
        <v>4345678.3661930403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3.5" customHeight="1" x14ac:dyDescent="0.2">
      <c r="A29" s="4"/>
      <c r="B29" s="107"/>
      <c r="C29" s="108"/>
      <c r="D29" s="108"/>
      <c r="E29" s="108"/>
      <c r="F29" s="117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2">
      <c r="A30" s="4"/>
      <c r="B30" s="4"/>
      <c r="C30" s="4"/>
      <c r="D30" s="4"/>
      <c r="E30" s="4"/>
      <c r="F30" s="4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 x14ac:dyDescent="0.2">
      <c r="A31" s="4"/>
      <c r="B31" s="4"/>
      <c r="C31" s="4" t="s">
        <v>123</v>
      </c>
      <c r="D31" s="49">
        <f>E21-D28</f>
        <v>381302073</v>
      </c>
      <c r="E31" s="4"/>
      <c r="F31" s="4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2">
      <c r="A32" s="4"/>
      <c r="B32" s="4"/>
      <c r="C32" s="4"/>
      <c r="D32" s="4"/>
      <c r="E32" s="4"/>
      <c r="F32" s="4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 x14ac:dyDescent="0.2">
      <c r="A33" s="4"/>
      <c r="B33" s="4"/>
      <c r="C33" s="4"/>
      <c r="D33" s="4"/>
      <c r="E33" s="4"/>
      <c r="F33" s="4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1:G1"/>
    <mergeCell ref="B14:C14"/>
    <mergeCell ref="D26:F26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sqref="A1:G1"/>
    </sheetView>
  </sheetViews>
  <sheetFormatPr defaultColWidth="12.5703125" defaultRowHeight="15" customHeight="1" x14ac:dyDescent="0.2"/>
  <cols>
    <col min="1" max="1" width="11.28515625" customWidth="1"/>
    <col min="2" max="2" width="21.140625" customWidth="1"/>
    <col min="3" max="3" width="11.5703125" customWidth="1"/>
    <col min="4" max="4" width="23.5703125" customWidth="1"/>
    <col min="5" max="5" width="22.5703125" customWidth="1"/>
    <col min="6" max="6" width="32.28515625" customWidth="1"/>
    <col min="7" max="7" width="21.5703125" customWidth="1"/>
    <col min="8" max="8" width="9.140625" customWidth="1"/>
    <col min="9" max="26" width="8" customWidth="1"/>
  </cols>
  <sheetData>
    <row r="1" spans="1:26" ht="18" customHeight="1" x14ac:dyDescent="0.25">
      <c r="A1" s="183" t="s">
        <v>56</v>
      </c>
      <c r="B1" s="184"/>
      <c r="C1" s="184"/>
      <c r="D1" s="184"/>
      <c r="E1" s="184"/>
      <c r="F1" s="184"/>
      <c r="G1" s="18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" customHeight="1" x14ac:dyDescent="0.25">
      <c r="A2" s="24"/>
      <c r="B2" s="24"/>
      <c r="C2" s="24"/>
      <c r="D2" s="24"/>
      <c r="E2" s="27"/>
      <c r="F2" s="24"/>
      <c r="G2" s="2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63.75" customHeight="1" x14ac:dyDescent="0.2">
      <c r="A3" s="34" t="s">
        <v>21</v>
      </c>
      <c r="B3" s="35" t="s">
        <v>23</v>
      </c>
      <c r="C3" s="35" t="s">
        <v>25</v>
      </c>
      <c r="D3" s="35" t="s">
        <v>27</v>
      </c>
      <c r="E3" s="35" t="s">
        <v>28</v>
      </c>
      <c r="F3" s="35" t="s">
        <v>30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 x14ac:dyDescent="0.2">
      <c r="A4" s="43">
        <f>E16</f>
        <v>308.69</v>
      </c>
      <c r="B4" s="45">
        <v>0</v>
      </c>
      <c r="C4" s="43">
        <f>SUM(A4*1)</f>
        <v>308.69</v>
      </c>
      <c r="D4" s="48">
        <f t="shared" ref="D4:D13" si="0">(C4/$E$17)*100</f>
        <v>0.10478631318103127</v>
      </c>
      <c r="E4" s="49">
        <f>E21</f>
        <v>4007006202</v>
      </c>
      <c r="F4" s="49">
        <f t="shared" ref="F4:F13" si="1">SUM(D4*E4/100)</f>
        <v>4198794.0680110659</v>
      </c>
      <c r="G4" s="50" t="s">
        <v>48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2">
      <c r="A5" s="43">
        <f>E16</f>
        <v>308.69</v>
      </c>
      <c r="B5" s="53">
        <v>0.01</v>
      </c>
      <c r="C5" s="43">
        <f>SUM(A5*1.01)</f>
        <v>311.77690000000001</v>
      </c>
      <c r="D5" s="48">
        <f t="shared" si="0"/>
        <v>0.10583417631284159</v>
      </c>
      <c r="E5" s="49">
        <f>E21</f>
        <v>4007006202</v>
      </c>
      <c r="F5" s="49">
        <f t="shared" si="1"/>
        <v>4240782.0086911777</v>
      </c>
      <c r="G5" s="36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 x14ac:dyDescent="0.2">
      <c r="A6" s="43">
        <f>E16</f>
        <v>308.69</v>
      </c>
      <c r="B6" s="41">
        <v>0.02</v>
      </c>
      <c r="C6" s="43">
        <f>SUM(A6*1.02)</f>
        <v>314.86380000000003</v>
      </c>
      <c r="D6" s="48">
        <f t="shared" si="0"/>
        <v>0.1068820394446519</v>
      </c>
      <c r="E6" s="49">
        <f>SUM(E21)</f>
        <v>4007006202</v>
      </c>
      <c r="F6" s="49">
        <f t="shared" si="1"/>
        <v>4282769.9493712876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 x14ac:dyDescent="0.2">
      <c r="A7" s="43">
        <f>E16</f>
        <v>308.69</v>
      </c>
      <c r="B7" s="41">
        <v>0.03</v>
      </c>
      <c r="C7" s="43">
        <f>SUM(A7*1.03)</f>
        <v>317.95069999999998</v>
      </c>
      <c r="D7" s="48">
        <f t="shared" si="0"/>
        <v>0.10792990257646219</v>
      </c>
      <c r="E7" s="49">
        <f>E21</f>
        <v>4007006202</v>
      </c>
      <c r="F7" s="49">
        <f t="shared" si="1"/>
        <v>4324757.8900513975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 x14ac:dyDescent="0.2">
      <c r="A8" s="43">
        <f>E16</f>
        <v>308.69</v>
      </c>
      <c r="B8" s="41">
        <v>3.5000000000000003E-2</v>
      </c>
      <c r="C8" s="43">
        <f>SUM(A8*1.035)</f>
        <v>319.49414999999999</v>
      </c>
      <c r="D8" s="48">
        <f t="shared" si="0"/>
        <v>0.10845383414236735</v>
      </c>
      <c r="E8" s="49">
        <f>E21</f>
        <v>4007006202</v>
      </c>
      <c r="F8" s="49">
        <f t="shared" si="1"/>
        <v>4345751.8603914538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 customHeight="1" x14ac:dyDescent="0.2">
      <c r="A9" s="62">
        <f>E16</f>
        <v>308.69</v>
      </c>
      <c r="B9" s="64">
        <v>0.04</v>
      </c>
      <c r="C9" s="62">
        <f>SUM(A9*1.04)</f>
        <v>321.0376</v>
      </c>
      <c r="D9" s="65">
        <f t="shared" si="0"/>
        <v>0.10897776570827251</v>
      </c>
      <c r="E9" s="66">
        <f>SUM(E21)</f>
        <v>4007006202</v>
      </c>
      <c r="F9" s="66">
        <f t="shared" si="1"/>
        <v>4366745.8307315083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.75" customHeight="1" x14ac:dyDescent="0.2">
      <c r="A10" s="62">
        <f>E16</f>
        <v>308.69</v>
      </c>
      <c r="B10" s="64">
        <v>0.05</v>
      </c>
      <c r="C10" s="62">
        <f>SUM(A10*1.05)</f>
        <v>324.12450000000001</v>
      </c>
      <c r="D10" s="65">
        <f t="shared" si="0"/>
        <v>0.11002562884008284</v>
      </c>
      <c r="E10" s="66">
        <f>E21</f>
        <v>4007006202</v>
      </c>
      <c r="F10" s="66">
        <f t="shared" si="1"/>
        <v>4408733.7714116201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.75" customHeight="1" x14ac:dyDescent="0.2">
      <c r="A11" s="62">
        <f>E16</f>
        <v>308.69</v>
      </c>
      <c r="B11" s="64">
        <v>0.06</v>
      </c>
      <c r="C11" s="62">
        <f>SUM(A11*1.06)</f>
        <v>327.21140000000003</v>
      </c>
      <c r="D11" s="65">
        <f t="shared" si="0"/>
        <v>0.11107349197189313</v>
      </c>
      <c r="E11" s="66">
        <f>SUM(E21)</f>
        <v>4007006202</v>
      </c>
      <c r="F11" s="66">
        <f t="shared" si="1"/>
        <v>4450721.71209173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 x14ac:dyDescent="0.2">
      <c r="A12" s="62">
        <f>E16</f>
        <v>308.69</v>
      </c>
      <c r="B12" s="64">
        <v>7.0000000000000007E-2</v>
      </c>
      <c r="C12" s="62">
        <f>SUM(A12*1.07)</f>
        <v>330.29830000000004</v>
      </c>
      <c r="D12" s="65">
        <f t="shared" si="0"/>
        <v>0.11212135510370345</v>
      </c>
      <c r="E12" s="66">
        <f>E21</f>
        <v>4007006202</v>
      </c>
      <c r="F12" s="66">
        <f t="shared" si="1"/>
        <v>4492709.6527718408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 x14ac:dyDescent="0.2">
      <c r="A13" s="62">
        <f>E16</f>
        <v>308.69</v>
      </c>
      <c r="B13" s="64">
        <v>0.08</v>
      </c>
      <c r="C13" s="62">
        <f>SUM(A13*1.08)</f>
        <v>333.3852</v>
      </c>
      <c r="D13" s="65">
        <f t="shared" si="0"/>
        <v>0.11316921823551376</v>
      </c>
      <c r="E13" s="66">
        <f>SUM(E21)</f>
        <v>4007006202</v>
      </c>
      <c r="F13" s="66">
        <f t="shared" si="1"/>
        <v>4534697.5934519516</v>
      </c>
      <c r="G13" s="50" t="s">
        <v>84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 x14ac:dyDescent="0.2">
      <c r="A14" s="4"/>
      <c r="B14" s="186"/>
      <c r="C14" s="178"/>
      <c r="D14" s="80"/>
      <c r="E14" s="49"/>
      <c r="F14" s="4"/>
      <c r="G14" s="4" t="s">
        <v>87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2">
      <c r="A15" s="4"/>
      <c r="B15" s="4"/>
      <c r="C15" s="81"/>
      <c r="D15" s="4"/>
      <c r="E15" s="49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2">
      <c r="A16" s="4"/>
      <c r="B16" s="4"/>
      <c r="C16" s="36"/>
      <c r="D16" s="83" t="s">
        <v>89</v>
      </c>
      <c r="E16" s="84">
        <v>308.69</v>
      </c>
      <c r="F16" s="36"/>
      <c r="G16" s="4" t="s">
        <v>90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2">
      <c r="A17" s="4"/>
      <c r="B17" s="4"/>
      <c r="C17" s="43"/>
      <c r="D17" s="83" t="s">
        <v>92</v>
      </c>
      <c r="E17" s="89">
        <v>294590</v>
      </c>
      <c r="F17" s="91"/>
      <c r="G17" s="4" t="s">
        <v>94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2">
      <c r="A18" s="4"/>
      <c r="B18" s="4"/>
      <c r="C18" s="43"/>
      <c r="D18" s="49"/>
      <c r="E18" s="91"/>
      <c r="F18" s="9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3.5" customHeight="1" x14ac:dyDescent="0.2">
      <c r="A19" s="4"/>
      <c r="B19" s="4"/>
      <c r="C19" s="43"/>
      <c r="D19" s="49"/>
      <c r="E19" s="91"/>
      <c r="F19" s="9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2">
      <c r="A20" s="36"/>
      <c r="B20" s="93"/>
      <c r="C20" s="94"/>
      <c r="D20" s="95" t="s">
        <v>97</v>
      </c>
      <c r="E20" s="95" t="s">
        <v>98</v>
      </c>
      <c r="F20" s="96" t="s">
        <v>99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2">
      <c r="A21" s="36"/>
      <c r="B21" s="97"/>
      <c r="C21" s="98" t="s">
        <v>100</v>
      </c>
      <c r="D21" s="99">
        <v>3001582</v>
      </c>
      <c r="E21" s="27">
        <v>4007006202</v>
      </c>
      <c r="F21" s="100">
        <f>SUM(D21/E21*100)</f>
        <v>7.4908344252170939E-2</v>
      </c>
      <c r="G21" s="36" t="s">
        <v>104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">
      <c r="A22" s="4"/>
      <c r="B22" s="101"/>
      <c r="C22" s="102" t="s">
        <v>105</v>
      </c>
      <c r="D22" s="103">
        <v>4345752</v>
      </c>
      <c r="E22" s="4"/>
      <c r="F22" s="104"/>
      <c r="G22" s="102"/>
      <c r="H22" s="36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">
      <c r="A23" s="36"/>
      <c r="B23" s="101"/>
      <c r="C23" s="102" t="s">
        <v>107</v>
      </c>
      <c r="D23" s="105">
        <f>SUM(D21-D22)</f>
        <v>-1344170</v>
      </c>
      <c r="E23" s="4"/>
      <c r="F23" s="106"/>
      <c r="G23" s="102"/>
      <c r="H23" s="36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 x14ac:dyDescent="0.2">
      <c r="A24" s="4"/>
      <c r="B24" s="107"/>
      <c r="C24" s="108"/>
      <c r="D24" s="108"/>
      <c r="E24" s="108"/>
      <c r="F24" s="10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 x14ac:dyDescent="0.2">
      <c r="A25" s="4"/>
      <c r="B25" s="36"/>
      <c r="C25" s="4"/>
      <c r="D25" s="36"/>
      <c r="E25" s="36"/>
      <c r="F25" s="36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2">
      <c r="A26" s="4"/>
      <c r="B26" s="110"/>
      <c r="C26" s="94"/>
      <c r="D26" s="187" t="s">
        <v>111</v>
      </c>
      <c r="E26" s="188"/>
      <c r="F26" s="18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2">
      <c r="A27" s="4"/>
      <c r="B27" s="111"/>
      <c r="C27" s="4"/>
      <c r="D27" s="112" t="s">
        <v>114</v>
      </c>
      <c r="E27" s="113" t="s">
        <v>115</v>
      </c>
      <c r="F27" s="114" t="s">
        <v>116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2">
      <c r="A28" s="4"/>
      <c r="B28" s="111"/>
      <c r="C28" s="4"/>
      <c r="D28" s="49">
        <f>'Posted Tax Rate 2024'!E21</f>
        <v>3414464026</v>
      </c>
      <c r="E28" s="115">
        <v>0.10047206360497644</v>
      </c>
      <c r="F28" s="116">
        <f>SUM(D28*E28/100)</f>
        <v>3430582.4679717594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3.5" customHeight="1" x14ac:dyDescent="0.2">
      <c r="A29" s="4"/>
      <c r="B29" s="107"/>
      <c r="C29" s="108"/>
      <c r="D29" s="108"/>
      <c r="E29" s="108"/>
      <c r="F29" s="117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2">
      <c r="A30" s="4"/>
      <c r="B30" s="4"/>
      <c r="C30" s="4"/>
      <c r="D30" s="4"/>
      <c r="E30" s="4"/>
      <c r="F30" s="4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 x14ac:dyDescent="0.2">
      <c r="A31" s="4"/>
      <c r="B31" s="4"/>
      <c r="C31" s="4" t="s">
        <v>123</v>
      </c>
      <c r="D31" s="49">
        <f>E21-D28</f>
        <v>592542176</v>
      </c>
      <c r="E31" s="4"/>
      <c r="F31" s="4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2">
      <c r="A32" s="4"/>
      <c r="B32" s="4"/>
      <c r="C32" s="4"/>
      <c r="D32" s="4"/>
      <c r="E32" s="4"/>
      <c r="F32" s="4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 x14ac:dyDescent="0.2">
      <c r="A33" s="4"/>
      <c r="B33" s="4"/>
      <c r="C33" s="4"/>
      <c r="D33" s="4"/>
      <c r="E33" s="4"/>
      <c r="F33" s="4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1:G1"/>
    <mergeCell ref="B14:C14"/>
    <mergeCell ref="D26:F26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sqref="A1:G1"/>
    </sheetView>
  </sheetViews>
  <sheetFormatPr defaultColWidth="12.5703125" defaultRowHeight="15" customHeight="1" x14ac:dyDescent="0.2"/>
  <cols>
    <col min="1" max="1" width="11.28515625" customWidth="1"/>
    <col min="2" max="2" width="21.140625" customWidth="1"/>
    <col min="3" max="3" width="11.5703125" customWidth="1"/>
    <col min="4" max="4" width="23.5703125" customWidth="1"/>
    <col min="5" max="5" width="22.5703125" customWidth="1"/>
    <col min="6" max="6" width="32.140625" customWidth="1"/>
    <col min="7" max="7" width="21.5703125" customWidth="1"/>
    <col min="8" max="8" width="9.140625" customWidth="1"/>
    <col min="9" max="26" width="8" customWidth="1"/>
  </cols>
  <sheetData>
    <row r="1" spans="1:26" ht="18" customHeight="1" x14ac:dyDescent="0.25">
      <c r="A1" s="183" t="s">
        <v>207</v>
      </c>
      <c r="B1" s="184"/>
      <c r="C1" s="184"/>
      <c r="D1" s="184"/>
      <c r="E1" s="184"/>
      <c r="F1" s="184"/>
      <c r="G1" s="18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" customHeight="1" x14ac:dyDescent="0.25">
      <c r="A2" s="24"/>
      <c r="B2" s="24"/>
      <c r="C2" s="24"/>
      <c r="D2" s="24"/>
      <c r="E2" s="27"/>
      <c r="F2" s="24"/>
      <c r="G2" s="2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63.75" customHeight="1" x14ac:dyDescent="0.2">
      <c r="A3" s="34" t="s">
        <v>21</v>
      </c>
      <c r="B3" s="35" t="s">
        <v>23</v>
      </c>
      <c r="C3" s="35" t="s">
        <v>25</v>
      </c>
      <c r="D3" s="35" t="s">
        <v>27</v>
      </c>
      <c r="E3" s="35" t="s">
        <v>208</v>
      </c>
      <c r="F3" s="35" t="s">
        <v>30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 x14ac:dyDescent="0.2">
      <c r="A4" s="43">
        <f>E16</f>
        <v>298.27</v>
      </c>
      <c r="B4" s="45">
        <v>0</v>
      </c>
      <c r="C4" s="43">
        <f>SUM(A4*1)</f>
        <v>298.27</v>
      </c>
      <c r="D4" s="48">
        <f>SUM(C4/E17*100)</f>
        <v>0.10056270882431279</v>
      </c>
      <c r="E4" s="49">
        <f>E21</f>
        <v>3414464026</v>
      </c>
      <c r="F4" s="49">
        <f t="shared" ref="F4:F13" si="0">SUM(D4*E4/100)</f>
        <v>3433677.5163772875</v>
      </c>
      <c r="G4" s="50" t="s">
        <v>48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2">
      <c r="A5" s="43">
        <f>E16</f>
        <v>298.27</v>
      </c>
      <c r="B5" s="53">
        <v>0.01</v>
      </c>
      <c r="C5" s="43">
        <f>SUM(A5*1.01)</f>
        <v>301.2527</v>
      </c>
      <c r="D5" s="48">
        <f>SUM(C5/E17*100)</f>
        <v>0.10156833591255593</v>
      </c>
      <c r="E5" s="49">
        <f>E21</f>
        <v>3414464026</v>
      </c>
      <c r="F5" s="49">
        <f t="shared" si="0"/>
        <v>3468014.2915410609</v>
      </c>
      <c r="G5" s="36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 x14ac:dyDescent="0.2">
      <c r="A6" s="43">
        <f>E16</f>
        <v>298.27</v>
      </c>
      <c r="B6" s="41">
        <v>0.02</v>
      </c>
      <c r="C6" s="43">
        <f>SUM(A6*1.02)</f>
        <v>304.23539999999997</v>
      </c>
      <c r="D6" s="48">
        <f>SUM(C6/E17*100)</f>
        <v>0.10257396300079903</v>
      </c>
      <c r="E6" s="49">
        <f>SUM(E21)</f>
        <v>3414464026</v>
      </c>
      <c r="F6" s="49">
        <f t="shared" si="0"/>
        <v>3502351.0667048329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 x14ac:dyDescent="0.2">
      <c r="A7" s="43">
        <f>E16</f>
        <v>298.27</v>
      </c>
      <c r="B7" s="41">
        <v>0.03</v>
      </c>
      <c r="C7" s="43">
        <f>SUM(A7*1.03)</f>
        <v>307.21809999999999</v>
      </c>
      <c r="D7" s="48">
        <f>SUM(C7/E17*100)</f>
        <v>0.10357959008904219</v>
      </c>
      <c r="E7" s="49">
        <f>E21</f>
        <v>3414464026</v>
      </c>
      <c r="F7" s="49">
        <f t="shared" si="0"/>
        <v>3536687.8418686069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 x14ac:dyDescent="0.2">
      <c r="A8" s="43">
        <f>E16</f>
        <v>298.27</v>
      </c>
      <c r="B8" s="41">
        <v>3.5000000000000003E-2</v>
      </c>
      <c r="C8" s="43">
        <f>SUM(A8*1.035)</f>
        <v>308.70944999999995</v>
      </c>
      <c r="D8" s="80">
        <f>SUM(C8/E17*100)</f>
        <v>0.10408240363316372</v>
      </c>
      <c r="E8" s="49">
        <f>E21</f>
        <v>3414464026</v>
      </c>
      <c r="F8" s="49">
        <f t="shared" si="0"/>
        <v>3553856.2294504922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 customHeight="1" x14ac:dyDescent="0.2">
      <c r="A9" s="43">
        <f>E16</f>
        <v>298.27</v>
      </c>
      <c r="B9" s="41">
        <v>0.04</v>
      </c>
      <c r="C9" s="43">
        <f>SUM(A9*1.04)</f>
        <v>310.20080000000002</v>
      </c>
      <c r="D9" s="48">
        <f>SUM(C9/E17*100)</f>
        <v>0.10458521717728532</v>
      </c>
      <c r="E9" s="49">
        <f>SUM(E21)</f>
        <v>3414464026</v>
      </c>
      <c r="F9" s="49">
        <f t="shared" si="0"/>
        <v>3571024.6170323803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.75" customHeight="1" x14ac:dyDescent="0.2">
      <c r="A10" s="43">
        <f>E16</f>
        <v>298.27</v>
      </c>
      <c r="B10" s="41">
        <v>0.05</v>
      </c>
      <c r="C10" s="43">
        <f>SUM(A10*1.05)</f>
        <v>313.18349999999998</v>
      </c>
      <c r="D10" s="48">
        <f>SUM(C10/E17*100)</f>
        <v>0.10559084426552844</v>
      </c>
      <c r="E10" s="49">
        <f>E21</f>
        <v>3414464026</v>
      </c>
      <c r="F10" s="49">
        <f t="shared" si="0"/>
        <v>3605361.3921961524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.75" customHeight="1" x14ac:dyDescent="0.2">
      <c r="A11" s="43">
        <f>E16</f>
        <v>298.27</v>
      </c>
      <c r="B11" s="41">
        <v>0.06</v>
      </c>
      <c r="C11" s="43">
        <f>SUM(A11*1.06)</f>
        <v>316.1662</v>
      </c>
      <c r="D11" s="48">
        <f>SUM(C11/E17*100)</f>
        <v>0.10659647135377157</v>
      </c>
      <c r="E11" s="49">
        <f>SUM(E21)</f>
        <v>3414464026</v>
      </c>
      <c r="F11" s="49">
        <f t="shared" si="0"/>
        <v>3639698.1673599253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 x14ac:dyDescent="0.2">
      <c r="A12" s="43">
        <f>E16</f>
        <v>298.27</v>
      </c>
      <c r="B12" s="41">
        <v>7.0000000000000007E-2</v>
      </c>
      <c r="C12" s="43">
        <f>SUM(A12*1.07)</f>
        <v>319.14890000000003</v>
      </c>
      <c r="D12" s="48">
        <f>SUM(C12/E17*100)</f>
        <v>0.1076020984420147</v>
      </c>
      <c r="E12" s="49">
        <f>E21</f>
        <v>3414464026</v>
      </c>
      <c r="F12" s="49">
        <f t="shared" si="0"/>
        <v>3674034.9425236983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 x14ac:dyDescent="0.2">
      <c r="A13" s="43">
        <f>E16</f>
        <v>298.27</v>
      </c>
      <c r="B13" s="41">
        <v>0.08</v>
      </c>
      <c r="C13" s="43">
        <f>SUM(A13*1.08)</f>
        <v>322.13159999999999</v>
      </c>
      <c r="D13" s="48">
        <f>SUM(C13/E17*100)-0.000001</f>
        <v>0.10860672553025781</v>
      </c>
      <c r="E13" s="49">
        <f>SUM(E21)</f>
        <v>3414464026</v>
      </c>
      <c r="F13" s="49">
        <f t="shared" si="0"/>
        <v>3708337.5730472105</v>
      </c>
      <c r="G13" s="50" t="s">
        <v>84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 x14ac:dyDescent="0.2">
      <c r="A14" s="4"/>
      <c r="B14" s="186"/>
      <c r="C14" s="178"/>
      <c r="D14" s="80"/>
      <c r="E14" s="49"/>
      <c r="F14" s="4"/>
      <c r="G14" s="4" t="s">
        <v>87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2">
      <c r="A15" s="4"/>
      <c r="B15" s="4"/>
      <c r="C15" s="81"/>
      <c r="D15" s="4"/>
      <c r="E15" s="49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2">
      <c r="A16" s="4"/>
      <c r="B16" s="4"/>
      <c r="C16" s="36"/>
      <c r="D16" s="83" t="s">
        <v>89</v>
      </c>
      <c r="E16" s="84">
        <v>298.27</v>
      </c>
      <c r="F16" s="36"/>
      <c r="G16" s="4" t="s">
        <v>90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2">
      <c r="A17" s="4"/>
      <c r="B17" s="4"/>
      <c r="C17" s="43"/>
      <c r="D17" s="83" t="s">
        <v>92</v>
      </c>
      <c r="E17" s="89">
        <v>296601</v>
      </c>
      <c r="F17" s="91"/>
      <c r="G17" s="4" t="s">
        <v>94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2">
      <c r="A18" s="4"/>
      <c r="B18" s="4"/>
      <c r="C18" s="43"/>
      <c r="D18" s="49"/>
      <c r="E18" s="91"/>
      <c r="F18" s="9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3.5" customHeight="1" x14ac:dyDescent="0.2">
      <c r="A19" s="4"/>
      <c r="B19" s="4"/>
      <c r="C19" s="43"/>
      <c r="D19" s="49"/>
      <c r="E19" s="91"/>
      <c r="F19" s="9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2">
      <c r="A20" s="36"/>
      <c r="B20" s="93"/>
      <c r="C20" s="94"/>
      <c r="D20" s="95" t="s">
        <v>209</v>
      </c>
      <c r="E20" s="95" t="s">
        <v>210</v>
      </c>
      <c r="F20" s="96" t="s">
        <v>99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2">
      <c r="A21" s="36"/>
      <c r="B21" s="97"/>
      <c r="C21" s="98" t="s">
        <v>100</v>
      </c>
      <c r="D21" s="99">
        <v>3001582</v>
      </c>
      <c r="E21" s="27">
        <v>3414464026</v>
      </c>
      <c r="F21" s="100">
        <f>SUM(D21/E21*100)</f>
        <v>8.7907852510495307E-2</v>
      </c>
      <c r="G21" s="36" t="s">
        <v>104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">
      <c r="A22" s="4"/>
      <c r="B22" s="101"/>
      <c r="C22" s="102" t="s">
        <v>211</v>
      </c>
      <c r="D22" s="103">
        <f>F28</f>
        <v>3001582</v>
      </c>
      <c r="E22" s="4"/>
      <c r="F22" s="104"/>
      <c r="G22" s="102"/>
      <c r="H22" s="36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">
      <c r="A23" s="36"/>
      <c r="B23" s="101"/>
      <c r="C23" s="102" t="s">
        <v>107</v>
      </c>
      <c r="D23" s="105">
        <f>SUM(D21-D22)</f>
        <v>0</v>
      </c>
      <c r="E23" s="4"/>
      <c r="F23" s="106"/>
      <c r="G23" s="102"/>
      <c r="H23" s="36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 x14ac:dyDescent="0.2">
      <c r="A24" s="4"/>
      <c r="B24" s="107"/>
      <c r="C24" s="108"/>
      <c r="D24" s="108"/>
      <c r="E24" s="108"/>
      <c r="F24" s="109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3.5" customHeight="1" x14ac:dyDescent="0.2">
      <c r="A25" s="4"/>
      <c r="B25" s="36"/>
      <c r="C25" s="4"/>
      <c r="D25" s="36"/>
      <c r="E25" s="36"/>
      <c r="F25" s="36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2">
      <c r="A26" s="4"/>
      <c r="B26" s="110"/>
      <c r="C26" s="94"/>
      <c r="D26" s="187" t="s">
        <v>212</v>
      </c>
      <c r="E26" s="188"/>
      <c r="F26" s="189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2">
      <c r="A27" s="4"/>
      <c r="B27" s="111"/>
      <c r="C27" s="4"/>
      <c r="D27" s="112" t="s">
        <v>213</v>
      </c>
      <c r="E27" s="113" t="s">
        <v>214</v>
      </c>
      <c r="F27" s="114" t="s">
        <v>215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2">
      <c r="A28" s="4"/>
      <c r="B28" s="111"/>
      <c r="C28" s="4"/>
      <c r="D28" s="49">
        <v>2987479198</v>
      </c>
      <c r="E28" s="115">
        <v>0.10047206360497644</v>
      </c>
      <c r="F28" s="116">
        <f>SUM(D28*E28/100)</f>
        <v>3001582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3.5" customHeight="1" x14ac:dyDescent="0.2">
      <c r="A29" s="4"/>
      <c r="B29" s="107"/>
      <c r="C29" s="108"/>
      <c r="D29" s="108"/>
      <c r="E29" s="108"/>
      <c r="F29" s="117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2">
      <c r="A30" s="4"/>
      <c r="B30" s="4"/>
      <c r="C30" s="4"/>
      <c r="D30" s="4"/>
      <c r="E30" s="4"/>
      <c r="F30" s="4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 x14ac:dyDescent="0.2">
      <c r="A31" s="4"/>
      <c r="B31" s="4"/>
      <c r="C31" s="4" t="s">
        <v>123</v>
      </c>
      <c r="D31" s="49">
        <f>E21-D28</f>
        <v>426984828</v>
      </c>
      <c r="E31" s="4"/>
      <c r="F31" s="4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2">
      <c r="A32" s="4"/>
      <c r="B32" s="4"/>
      <c r="C32" s="4"/>
      <c r="D32" s="4"/>
      <c r="E32" s="4"/>
      <c r="F32" s="4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 x14ac:dyDescent="0.2">
      <c r="A33" s="4"/>
      <c r="B33" s="4"/>
      <c r="C33" s="4"/>
      <c r="D33" s="4"/>
      <c r="E33" s="4"/>
      <c r="F33" s="43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1:G1"/>
    <mergeCell ref="B14:C14"/>
    <mergeCell ref="D26:F26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sqref="A1:G1"/>
    </sheetView>
  </sheetViews>
  <sheetFormatPr defaultColWidth="12.5703125" defaultRowHeight="15" customHeight="1" x14ac:dyDescent="0.2"/>
  <cols>
    <col min="1" max="1" width="11.28515625" customWidth="1"/>
    <col min="2" max="2" width="21.140625" customWidth="1"/>
    <col min="3" max="3" width="11.5703125" customWidth="1"/>
    <col min="4" max="4" width="23.5703125" customWidth="1"/>
    <col min="5" max="5" width="19.140625" customWidth="1"/>
    <col min="6" max="6" width="32.140625" customWidth="1"/>
    <col min="7" max="7" width="21.5703125" customWidth="1"/>
    <col min="8" max="8" width="9.140625" customWidth="1"/>
    <col min="9" max="26" width="8" customWidth="1"/>
  </cols>
  <sheetData>
    <row r="1" spans="1:26" ht="18" customHeight="1" x14ac:dyDescent="0.25">
      <c r="A1" s="183" t="s">
        <v>216</v>
      </c>
      <c r="B1" s="184"/>
      <c r="C1" s="184"/>
      <c r="D1" s="184"/>
      <c r="E1" s="184"/>
      <c r="F1" s="184"/>
      <c r="G1" s="185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8" customHeight="1" x14ac:dyDescent="0.25">
      <c r="A2" s="24"/>
      <c r="B2" s="24"/>
      <c r="C2" s="24"/>
      <c r="D2" s="24"/>
      <c r="E2" s="24"/>
      <c r="F2" s="24"/>
      <c r="G2" s="2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63.75" customHeight="1" x14ac:dyDescent="0.2">
      <c r="A3" s="34" t="s">
        <v>21</v>
      </c>
      <c r="B3" s="35" t="s">
        <v>23</v>
      </c>
      <c r="C3" s="35" t="s">
        <v>25</v>
      </c>
      <c r="D3" s="35" t="s">
        <v>27</v>
      </c>
      <c r="E3" s="35" t="s">
        <v>208</v>
      </c>
      <c r="F3" s="35" t="s">
        <v>30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 x14ac:dyDescent="0.2">
      <c r="A4" s="43">
        <f>E15</f>
        <v>298.27</v>
      </c>
      <c r="B4" s="45">
        <v>0</v>
      </c>
      <c r="C4" s="43">
        <f>SUM(A4*1)</f>
        <v>298.27</v>
      </c>
      <c r="D4" s="48">
        <f>SUM(C4/E16*100)</f>
        <v>0.10056270882431279</v>
      </c>
      <c r="E4" s="49">
        <f>E20</f>
        <v>2987479198</v>
      </c>
      <c r="F4" s="49">
        <f t="shared" ref="F4:F12" si="0">SUM(D4*E4/100)</f>
        <v>3004290.0070716548</v>
      </c>
      <c r="G4" s="50" t="s">
        <v>48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2">
      <c r="A5" s="43">
        <f>E15</f>
        <v>298.27</v>
      </c>
      <c r="B5" s="53">
        <v>0.01</v>
      </c>
      <c r="C5" s="43">
        <f>SUM(A5*1.01)</f>
        <v>301.2527</v>
      </c>
      <c r="D5" s="48">
        <f>SUM(C5/E16*100)</f>
        <v>0.10156833591255593</v>
      </c>
      <c r="E5" s="49">
        <f>E20</f>
        <v>2987479198</v>
      </c>
      <c r="F5" s="49">
        <f t="shared" si="0"/>
        <v>3034332.9071423723</v>
      </c>
      <c r="G5" s="36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 x14ac:dyDescent="0.2">
      <c r="A6" s="43">
        <f>E15</f>
        <v>298.27</v>
      </c>
      <c r="B6" s="41">
        <v>0.02</v>
      </c>
      <c r="C6" s="43">
        <f>SUM(A6*1.02)</f>
        <v>304.23539999999997</v>
      </c>
      <c r="D6" s="48">
        <f>SUM(C6/E16*100)</f>
        <v>0.10257396300079903</v>
      </c>
      <c r="E6" s="49">
        <f>SUM(E20)</f>
        <v>2987479198</v>
      </c>
      <c r="F6" s="49">
        <f t="shared" si="0"/>
        <v>3064375.8072130876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 x14ac:dyDescent="0.2">
      <c r="A7" s="43">
        <f>E15</f>
        <v>298.27</v>
      </c>
      <c r="B7" s="41">
        <v>0.03</v>
      </c>
      <c r="C7" s="43">
        <f>SUM(A7*1.03)</f>
        <v>307.21809999999999</v>
      </c>
      <c r="D7" s="48">
        <f>SUM(C7/E16*100)</f>
        <v>0.10357959008904219</v>
      </c>
      <c r="E7" s="49">
        <f>E20</f>
        <v>2987479198</v>
      </c>
      <c r="F7" s="49">
        <f t="shared" si="0"/>
        <v>3094418.7072838051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 x14ac:dyDescent="0.2">
      <c r="A8" s="43">
        <f>E15</f>
        <v>298.27</v>
      </c>
      <c r="B8" s="41">
        <v>0.04</v>
      </c>
      <c r="C8" s="43">
        <f>SUM(A8*1.04)</f>
        <v>310.20080000000002</v>
      </c>
      <c r="D8" s="48">
        <f>SUM(C8/E16*100)</f>
        <v>0.10458521717728532</v>
      </c>
      <c r="E8" s="49">
        <f>SUM(E20)</f>
        <v>2987479198</v>
      </c>
      <c r="F8" s="49">
        <f t="shared" si="0"/>
        <v>3124461.6073545218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2.75" customHeight="1" x14ac:dyDescent="0.2">
      <c r="A9" s="43">
        <f>E15</f>
        <v>298.27</v>
      </c>
      <c r="B9" s="41">
        <v>0.05</v>
      </c>
      <c r="C9" s="43">
        <f>SUM(A9*1.05)</f>
        <v>313.18349999999998</v>
      </c>
      <c r="D9" s="48">
        <f>SUM(C9/E16*100)</f>
        <v>0.10559084426552844</v>
      </c>
      <c r="E9" s="49">
        <f>E20</f>
        <v>2987479198</v>
      </c>
      <c r="F9" s="49">
        <f t="shared" si="0"/>
        <v>3154504.5074252379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2.75" customHeight="1" x14ac:dyDescent="0.2">
      <c r="A10" s="43">
        <f>E15</f>
        <v>298.27</v>
      </c>
      <c r="B10" s="41">
        <v>0.06</v>
      </c>
      <c r="C10" s="43">
        <f>SUM(A10*1.06)</f>
        <v>316.1662</v>
      </c>
      <c r="D10" s="48">
        <f>SUM(C10/E16*100)</f>
        <v>0.10659647135377157</v>
      </c>
      <c r="E10" s="49">
        <f>SUM(E20)</f>
        <v>2987479198</v>
      </c>
      <c r="F10" s="49">
        <f t="shared" si="0"/>
        <v>3184547.4074959545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2.75" customHeight="1" x14ac:dyDescent="0.2">
      <c r="A11" s="43">
        <f>E15</f>
        <v>298.27</v>
      </c>
      <c r="B11" s="41">
        <v>7.0000000000000007E-2</v>
      </c>
      <c r="C11" s="43">
        <f>SUM(A11*1.07)</f>
        <v>319.14890000000003</v>
      </c>
      <c r="D11" s="48">
        <f>SUM(C11/E16*100)</f>
        <v>0.1076020984420147</v>
      </c>
      <c r="E11" s="49">
        <f>E20</f>
        <v>2987479198</v>
      </c>
      <c r="F11" s="49">
        <f t="shared" si="0"/>
        <v>3214590.3075666712</v>
      </c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 x14ac:dyDescent="0.2">
      <c r="A12" s="43">
        <f>E15</f>
        <v>298.27</v>
      </c>
      <c r="B12" s="41">
        <v>0.08</v>
      </c>
      <c r="C12" s="43">
        <f>SUM(A12*1.08)</f>
        <v>322.13159999999999</v>
      </c>
      <c r="D12" s="48">
        <f>SUM(C12/E16*100)-0.000001</f>
        <v>0.10860672553025781</v>
      </c>
      <c r="E12" s="49">
        <f>SUM(E20)</f>
        <v>2987479198</v>
      </c>
      <c r="F12" s="49">
        <f t="shared" si="0"/>
        <v>3244603.3328454071</v>
      </c>
      <c r="G12" s="50" t="s">
        <v>84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 x14ac:dyDescent="0.2">
      <c r="A13" s="4"/>
      <c r="B13" s="186"/>
      <c r="C13" s="178"/>
      <c r="D13" s="80"/>
      <c r="E13" s="49"/>
      <c r="F13" s="4"/>
      <c r="G13" s="4" t="s">
        <v>87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 x14ac:dyDescent="0.2">
      <c r="A14" s="4"/>
      <c r="B14" s="4"/>
      <c r="C14" s="81"/>
      <c r="D14" s="4"/>
      <c r="E14" s="49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2">
      <c r="A15" s="4"/>
      <c r="B15" s="4"/>
      <c r="C15" s="36"/>
      <c r="D15" s="83" t="s">
        <v>89</v>
      </c>
      <c r="E15" s="84">
        <v>298.27</v>
      </c>
      <c r="F15" s="36"/>
      <c r="G15" s="4" t="s">
        <v>90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2">
      <c r="A16" s="4"/>
      <c r="B16" s="4"/>
      <c r="C16" s="43"/>
      <c r="D16" s="83" t="s">
        <v>92</v>
      </c>
      <c r="E16" s="89">
        <v>296601</v>
      </c>
      <c r="F16" s="91"/>
      <c r="G16" s="4" t="s">
        <v>94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2">
      <c r="A17" s="4"/>
      <c r="B17" s="4"/>
      <c r="C17" s="43"/>
      <c r="D17" s="49"/>
      <c r="E17" s="91"/>
      <c r="F17" s="91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3.5" customHeight="1" x14ac:dyDescent="0.2">
      <c r="A18" s="4"/>
      <c r="B18" s="4"/>
      <c r="C18" s="43"/>
      <c r="D18" s="49"/>
      <c r="E18" s="91"/>
      <c r="F18" s="91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 x14ac:dyDescent="0.2">
      <c r="A19" s="36"/>
      <c r="B19" s="93"/>
      <c r="C19" s="94"/>
      <c r="D19" s="95" t="s">
        <v>217</v>
      </c>
      <c r="E19" s="95" t="s">
        <v>208</v>
      </c>
      <c r="F19" s="96" t="s">
        <v>99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2">
      <c r="A20" s="36"/>
      <c r="B20" s="97"/>
      <c r="C20" s="98" t="s">
        <v>100</v>
      </c>
      <c r="D20" s="99">
        <v>3001582</v>
      </c>
      <c r="E20" s="168">
        <v>2987479198</v>
      </c>
      <c r="F20" s="169">
        <f>SUM(D20/E20*100)</f>
        <v>0.10047206360497644</v>
      </c>
      <c r="G20" s="36" t="s">
        <v>104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">
      <c r="A21" s="4"/>
      <c r="B21" s="101"/>
      <c r="C21" s="102" t="s">
        <v>215</v>
      </c>
      <c r="D21" s="103" t="e">
        <f>F27</f>
        <v>#REF!</v>
      </c>
      <c r="E21" s="4"/>
      <c r="F21" s="104"/>
      <c r="G21" s="102"/>
      <c r="H21" s="36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">
      <c r="A22" s="36"/>
      <c r="B22" s="101"/>
      <c r="C22" s="102" t="s">
        <v>107</v>
      </c>
      <c r="D22" s="105" t="e">
        <f>SUM(D20-D21)</f>
        <v>#REF!</v>
      </c>
      <c r="E22" s="4"/>
      <c r="F22" s="106"/>
      <c r="G22" s="102"/>
      <c r="H22" s="36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3.5" customHeight="1" x14ac:dyDescent="0.2">
      <c r="A23" s="4"/>
      <c r="B23" s="107"/>
      <c r="C23" s="108"/>
      <c r="D23" s="108"/>
      <c r="E23" s="108"/>
      <c r="F23" s="109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3.5" customHeight="1" x14ac:dyDescent="0.2">
      <c r="A24" s="4"/>
      <c r="B24" s="36"/>
      <c r="C24" s="4"/>
      <c r="D24" s="36"/>
      <c r="E24" s="36"/>
      <c r="F24" s="36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 x14ac:dyDescent="0.2">
      <c r="A25" s="4"/>
      <c r="B25" s="110"/>
      <c r="C25" s="94"/>
      <c r="D25" s="187" t="s">
        <v>218</v>
      </c>
      <c r="E25" s="188"/>
      <c r="F25" s="189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2">
      <c r="A26" s="4"/>
      <c r="B26" s="111"/>
      <c r="C26" s="4"/>
      <c r="D26" s="112" t="s">
        <v>219</v>
      </c>
      <c r="E26" s="113" t="s">
        <v>220</v>
      </c>
      <c r="F26" s="114" t="s">
        <v>215</v>
      </c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2">
      <c r="A27" s="4"/>
      <c r="B27" s="111"/>
      <c r="C27" s="4"/>
      <c r="D27" s="49" t="e">
        <f>'[1]2022'!E20</f>
        <v>#REF!</v>
      </c>
      <c r="E27" s="115">
        <v>0.123851</v>
      </c>
      <c r="F27" s="116" t="e">
        <f>SUM(D27*E27/100)</f>
        <v>#REF!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3.5" customHeight="1" x14ac:dyDescent="0.2">
      <c r="A28" s="4"/>
      <c r="B28" s="107"/>
      <c r="C28" s="108"/>
      <c r="D28" s="108"/>
      <c r="E28" s="108"/>
      <c r="F28" s="117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 x14ac:dyDescent="0.2">
      <c r="A29" s="4"/>
      <c r="B29" s="4"/>
      <c r="C29" s="4"/>
      <c r="D29" s="4"/>
      <c r="E29" s="4"/>
      <c r="F29" s="43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2">
      <c r="A30" s="4"/>
      <c r="B30" s="4"/>
      <c r="C30" s="4"/>
      <c r="D30" s="49" t="e">
        <f>E20-D27</f>
        <v>#REF!</v>
      </c>
      <c r="E30" s="4"/>
      <c r="F30" s="43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 x14ac:dyDescent="0.2">
      <c r="A31" s="4"/>
      <c r="B31" s="4"/>
      <c r="C31" s="4"/>
      <c r="D31" s="4"/>
      <c r="E31" s="4"/>
      <c r="F31" s="43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75" customHeight="1" x14ac:dyDescent="0.2">
      <c r="A32" s="4"/>
      <c r="B32" s="4"/>
      <c r="C32" s="4"/>
      <c r="D32" s="4"/>
      <c r="E32" s="4"/>
      <c r="F32" s="43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2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3">
    <mergeCell ref="A1:G1"/>
    <mergeCell ref="B13:C13"/>
    <mergeCell ref="D25:F2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Tax Rate Summary over the years</vt:lpstr>
      <vt:lpstr>Budget</vt:lpstr>
      <vt:lpstr>Wges</vt:lpstr>
      <vt:lpstr>Proposed Tax Rate 2026</vt:lpstr>
      <vt:lpstr>Posted Tax Rate 2025</vt:lpstr>
      <vt:lpstr>Posted Tax Rate 2024</vt:lpstr>
      <vt:lpstr>Posted Tax Rates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Stacy Vicknair, Office Manager</dc:creator>
  <cp:lastModifiedBy>Cyndi </cp:lastModifiedBy>
  <dcterms:created xsi:type="dcterms:W3CDTF">2005-02-04T20:25:00Z</dcterms:created>
  <dcterms:modified xsi:type="dcterms:W3CDTF">2026-08-18T14:24:55Z</dcterms:modified>
</cp:coreProperties>
</file>